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eLivro"/>
  <mc:AlternateContent xmlns:mc="http://schemas.openxmlformats.org/markup-compatibility/2006">
    <mc:Choice Requires="x15">
      <x15ac:absPath xmlns:x15ac="http://schemas.microsoft.com/office/spreadsheetml/2010/11/ac" url="C:\Users\manuelsemedo\Documents\DMGA\02.Indice Ambiental\"/>
    </mc:Choice>
  </mc:AlternateContent>
  <workbookProtection workbookAlgorithmName="SHA-512" workbookHashValue="McL5cDixdrvyYgyr8bX9W9uPVILdNAV5/j2WTO+8IjTecilwJEdUECC1q60ZGqvtIR3pxNGO37yfj5jgWWCyVw==" workbookSaltValue="EnOFoudNVITiYoY7J1kPMw==" workbookSpinCount="100000" lockStructure="1"/>
  <bookViews>
    <workbookView xWindow="-110" yWindow="-110" windowWidth="19310" windowHeight="7120" tabRatio="741" firstSheet="3" activeTab="3"/>
  </bookViews>
  <sheets>
    <sheet name="Definições Calc I.A." sheetId="17" state="hidden" r:id="rId1"/>
    <sheet name="Registo de edições" sheetId="40" state="hidden" r:id="rId2"/>
    <sheet name="Guia de utilização" sheetId="33" r:id="rId3"/>
    <sheet name="Descrições técnicas" sheetId="16" r:id="rId4"/>
    <sheet name="Definições I.A." sheetId="29" r:id="rId5"/>
    <sheet name="0. Informação Preparatória" sheetId="18" r:id="rId6"/>
    <sheet name="1. Energia" sheetId="35" r:id="rId7"/>
    <sheet name="2. Biodiversidade + I. Verde" sheetId="36" r:id="rId8"/>
    <sheet name="3. Água + Drenagem Sustentáv" sheetId="37" r:id="rId9"/>
    <sheet name="4. Economia Circular + Carbono" sheetId="38" r:id="rId10"/>
    <sheet name="Resultado Final I.A." sheetId="39" r:id="rId11"/>
    <sheet name="Listas" sheetId="34" state="hidden" r:id="rId12"/>
    <sheet name="Termos e definições" sheetId="8" state="hidden" r:id="rId13"/>
    <sheet name="Doc obrigatória legal" sheetId="14" state="hidden" r:id="rId14"/>
    <sheet name="Dúvidas" sheetId="15" state="hidden" r:id="rId15"/>
    <sheet name="Diagnóstico arbóreo" sheetId="26" r:id="rId16"/>
    <sheet name="Área arbórea conservada" sheetId="13" r:id="rId17"/>
    <sheet name="Área arborizada" sheetId="27" r:id="rId18"/>
    <sheet name="espécies arruamento existentes" sheetId="32" state="hidden" r:id="rId19"/>
  </sheets>
  <externalReferences>
    <externalReference r:id="rId20"/>
  </externalReferences>
  <definedNames>
    <definedName name="_xlnm._FilterDatabase" localSheetId="3" hidden="1">'Descrições técnicas'!$C$3:$I$9</definedName>
    <definedName name="_unitType">'[1]Water Reduction Calculator'!$W$21:$W$28</definedName>
    <definedName name="_xlnm.Print_Area" localSheetId="5">'0. Informação Preparatória'!$A$1:$H$16</definedName>
    <definedName name="_xlnm.Print_Area" localSheetId="6">'1. Energia'!$A$1:$K$40</definedName>
    <definedName name="_xlnm.Print_Area" localSheetId="4">'Definições I.A.'!$B$1:$I$39</definedName>
    <definedName name="_xlnm.Print_Area" localSheetId="3">'Descrições técnicas'!$A$1:$J$65</definedName>
    <definedName name="_xlnm.Print_Area" localSheetId="2">'Guia de utilização'!$A$1:$I$22</definedName>
    <definedName name="_xlnm.Print_Area" localSheetId="1">'Registo de edições'!$A$1:$I$16</definedName>
    <definedName name="mr_list">[1]Instructions!$I$120:$I$125</definedName>
    <definedName name="mr_list_drywall">[1]Instructions!$I$127:$I$128</definedName>
    <definedName name="MRc2_H_pts">[1]Instructions!$L$127:$L$135</definedName>
    <definedName name="MRc2_M_pts">[1]Instructions!$M$127:$M$137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37" l="1"/>
  <c r="I30" i="38" l="1"/>
  <c r="J15" i="38"/>
  <c r="I24" i="38"/>
  <c r="H19" i="35"/>
  <c r="H31" i="35"/>
  <c r="F18" i="38" l="1"/>
  <c r="D8" i="37" l="1"/>
  <c r="J22" i="37" l="1"/>
  <c r="H16" i="37"/>
  <c r="H14" i="37"/>
  <c r="F18" i="13"/>
  <c r="G18" i="13" s="1"/>
  <c r="F19" i="13"/>
  <c r="G19" i="13"/>
  <c r="F20" i="13"/>
  <c r="G20" i="13" s="1"/>
  <c r="F21" i="13"/>
  <c r="G21" i="13" s="1"/>
  <c r="F22" i="13"/>
  <c r="G22" i="13" s="1"/>
  <c r="F23" i="13"/>
  <c r="G23" i="13"/>
  <c r="F24" i="13"/>
  <c r="G24" i="13" s="1"/>
  <c r="F25" i="13"/>
  <c r="G25" i="13" s="1"/>
  <c r="F26" i="13"/>
  <c r="G26" i="13" s="1"/>
  <c r="F27" i="13"/>
  <c r="G27" i="13"/>
  <c r="F28" i="13"/>
  <c r="G28" i="13" s="1"/>
  <c r="F29" i="13"/>
  <c r="G29" i="13" s="1"/>
  <c r="F30" i="13"/>
  <c r="G30" i="13" s="1"/>
  <c r="F31" i="13"/>
  <c r="G31" i="13"/>
  <c r="F32" i="13"/>
  <c r="G32" i="13" s="1"/>
  <c r="F33" i="13"/>
  <c r="G33" i="13" s="1"/>
  <c r="F34" i="13"/>
  <c r="G34" i="13" s="1"/>
  <c r="F35" i="13"/>
  <c r="G35" i="13"/>
  <c r="F13" i="27"/>
  <c r="G13" i="27"/>
  <c r="F14" i="27"/>
  <c r="G14" i="27" s="1"/>
  <c r="F15" i="27"/>
  <c r="G15" i="27"/>
  <c r="F16" i="27"/>
  <c r="G16" i="27"/>
  <c r="F17" i="27"/>
  <c r="G17" i="27"/>
  <c r="F18" i="27"/>
  <c r="G18" i="27" s="1"/>
  <c r="F19" i="27"/>
  <c r="G19" i="27"/>
  <c r="F20" i="27"/>
  <c r="G20" i="27"/>
  <c r="F21" i="27"/>
  <c r="G21" i="27"/>
  <c r="F22" i="27"/>
  <c r="G22" i="27" s="1"/>
  <c r="F23" i="27"/>
  <c r="G23" i="27"/>
  <c r="F24" i="27"/>
  <c r="G24" i="27"/>
  <c r="F25" i="27"/>
  <c r="G25" i="27"/>
  <c r="F26" i="27"/>
  <c r="G26" i="27" s="1"/>
  <c r="F27" i="27"/>
  <c r="G27" i="27"/>
  <c r="F28" i="27"/>
  <c r="G28" i="27"/>
  <c r="F29" i="27"/>
  <c r="G29" i="27"/>
  <c r="F30" i="27"/>
  <c r="G30" i="27" s="1"/>
  <c r="F31" i="27"/>
  <c r="G31" i="27"/>
  <c r="F32" i="27"/>
  <c r="G32" i="27"/>
  <c r="F33" i="27"/>
  <c r="G33" i="27"/>
  <c r="F34" i="27"/>
  <c r="G34" i="27" s="1"/>
  <c r="F35" i="27"/>
  <c r="G35" i="27"/>
  <c r="F38" i="27"/>
  <c r="G38" i="27"/>
  <c r="F39" i="27"/>
  <c r="G39" i="27" s="1"/>
  <c r="F40" i="27"/>
  <c r="G40" i="27"/>
  <c r="F41" i="27"/>
  <c r="G41" i="27"/>
  <c r="F42" i="27"/>
  <c r="G42" i="27"/>
  <c r="F43" i="27"/>
  <c r="G43" i="27" s="1"/>
  <c r="F44" i="27"/>
  <c r="G44" i="27"/>
  <c r="F45" i="27"/>
  <c r="G45" i="27"/>
  <c r="F46" i="27"/>
  <c r="G46" i="27"/>
  <c r="F47" i="27"/>
  <c r="G47" i="27" s="1"/>
  <c r="G37" i="27"/>
  <c r="F37" i="27"/>
  <c r="F38" i="13"/>
  <c r="G38" i="13"/>
  <c r="F39" i="13"/>
  <c r="G39" i="13" s="1"/>
  <c r="F40" i="13"/>
  <c r="G40" i="13"/>
  <c r="F41" i="13"/>
  <c r="G41" i="13"/>
  <c r="F42" i="13"/>
  <c r="G42" i="13"/>
  <c r="F43" i="13"/>
  <c r="G43" i="13" s="1"/>
  <c r="F44" i="13"/>
  <c r="G44" i="13"/>
  <c r="F45" i="13"/>
  <c r="G45" i="13"/>
  <c r="F46" i="13"/>
  <c r="G46" i="13"/>
  <c r="F47" i="13"/>
  <c r="G47" i="13" s="1"/>
  <c r="G37" i="13"/>
  <c r="F37" i="13"/>
  <c r="F38" i="26"/>
  <c r="G38" i="26"/>
  <c r="F39" i="26"/>
  <c r="G39" i="26" s="1"/>
  <c r="F40" i="26"/>
  <c r="G40" i="26"/>
  <c r="F41" i="26"/>
  <c r="G41" i="26"/>
  <c r="F42" i="26"/>
  <c r="G42" i="26"/>
  <c r="F43" i="26"/>
  <c r="G43" i="26" s="1"/>
  <c r="F44" i="26"/>
  <c r="G44" i="26"/>
  <c r="F45" i="26"/>
  <c r="G45" i="26"/>
  <c r="F46" i="26"/>
  <c r="G46" i="26"/>
  <c r="F47" i="26"/>
  <c r="G47" i="26" s="1"/>
  <c r="G37" i="26"/>
  <c r="F37" i="26"/>
  <c r="G20" i="26"/>
  <c r="G21" i="26"/>
  <c r="G22" i="26"/>
  <c r="G23" i="26"/>
  <c r="G24" i="26"/>
  <c r="G25" i="26"/>
  <c r="G26" i="26"/>
  <c r="G27" i="26"/>
  <c r="G28" i="26"/>
  <c r="G29" i="26"/>
  <c r="G30" i="26"/>
  <c r="G31" i="26"/>
  <c r="G32" i="26"/>
  <c r="G33" i="26"/>
  <c r="G34" i="26"/>
  <c r="G35" i="26"/>
  <c r="F16" i="26"/>
  <c r="G16" i="26" s="1"/>
  <c r="F20" i="26"/>
  <c r="F21" i="26"/>
  <c r="F22" i="26"/>
  <c r="F23" i="26"/>
  <c r="F24" i="26"/>
  <c r="F25" i="26"/>
  <c r="F26" i="26"/>
  <c r="F27" i="26"/>
  <c r="F28" i="26"/>
  <c r="F29" i="26"/>
  <c r="F30" i="26"/>
  <c r="F31" i="26"/>
  <c r="F32" i="26"/>
  <c r="F33" i="26"/>
  <c r="F34" i="26"/>
  <c r="F35" i="26"/>
  <c r="E12" i="26"/>
  <c r="F12" i="26" s="1"/>
  <c r="G12" i="26" s="1"/>
  <c r="E13" i="26"/>
  <c r="F13" i="26" s="1"/>
  <c r="G13" i="26" s="1"/>
  <c r="E14" i="26"/>
  <c r="F14" i="26" s="1"/>
  <c r="G14" i="26" s="1"/>
  <c r="E15" i="26"/>
  <c r="F15" i="26" s="1"/>
  <c r="G15" i="26" s="1"/>
  <c r="E16" i="26"/>
  <c r="E17" i="26"/>
  <c r="F17" i="26" s="1"/>
  <c r="G17" i="26" s="1"/>
  <c r="E18" i="26"/>
  <c r="F18" i="26" s="1"/>
  <c r="G18" i="26" s="1"/>
  <c r="E19" i="26"/>
  <c r="F19" i="26" s="1"/>
  <c r="G19" i="26" s="1"/>
  <c r="E20" i="26"/>
  <c r="E21" i="26"/>
  <c r="E22" i="26"/>
  <c r="E23" i="26"/>
  <c r="E24" i="26"/>
  <c r="E25" i="26"/>
  <c r="E26" i="26"/>
  <c r="E27" i="26"/>
  <c r="E28" i="26"/>
  <c r="E29" i="26"/>
  <c r="E30" i="26"/>
  <c r="E31" i="26"/>
  <c r="E32" i="26"/>
  <c r="E33" i="26"/>
  <c r="E34" i="26"/>
  <c r="E35" i="26"/>
  <c r="D28" i="36"/>
  <c r="E28" i="36" s="1"/>
  <c r="I28" i="36" s="1"/>
  <c r="J28" i="36" s="1"/>
  <c r="H22" i="36"/>
  <c r="I20" i="36"/>
  <c r="G20" i="36"/>
  <c r="D20" i="36"/>
  <c r="E20" i="36" s="1"/>
  <c r="I22" i="36" l="1"/>
  <c r="I34" i="35"/>
  <c r="I22" i="35"/>
  <c r="I4" i="35"/>
  <c r="G12" i="18" l="1"/>
  <c r="E8" i="37" s="1"/>
  <c r="F8" i="37" s="1"/>
  <c r="I8" i="37" l="1"/>
  <c r="J8" i="37" s="1"/>
  <c r="E18" i="34"/>
  <c r="E19" i="34" s="1"/>
  <c r="E12" i="27"/>
  <c r="F12" i="27" s="1"/>
  <c r="G12" i="27" s="1"/>
  <c r="E13" i="27"/>
  <c r="E14" i="27"/>
  <c r="E15" i="27"/>
  <c r="E16" i="27"/>
  <c r="E17" i="27"/>
  <c r="E18" i="27"/>
  <c r="E19" i="27"/>
  <c r="E20" i="27"/>
  <c r="E21" i="27"/>
  <c r="E22" i="27"/>
  <c r="E23" i="27"/>
  <c r="E24" i="27"/>
  <c r="E25" i="27"/>
  <c r="E26" i="27"/>
  <c r="E27" i="27"/>
  <c r="E28" i="27"/>
  <c r="E29" i="27"/>
  <c r="E30" i="27"/>
  <c r="E31" i="27"/>
  <c r="E32" i="27"/>
  <c r="E33" i="27"/>
  <c r="E34" i="27"/>
  <c r="E35" i="27"/>
  <c r="L210" i="32"/>
  <c r="M210" i="32"/>
  <c r="O210" i="32"/>
  <c r="Q210" i="32"/>
  <c r="E21" i="34" l="1"/>
  <c r="I27" i="38" l="1"/>
  <c r="J30" i="38" s="1"/>
  <c r="I21" i="38"/>
  <c r="J24" i="38" s="1"/>
  <c r="I11" i="38"/>
  <c r="H18" i="38"/>
  <c r="H16" i="38"/>
  <c r="H14" i="38"/>
  <c r="G18" i="38"/>
  <c r="G16" i="38"/>
  <c r="G14" i="38"/>
  <c r="I28" i="35" l="1"/>
  <c r="I31" i="35" s="1"/>
  <c r="I10" i="35"/>
  <c r="I16" i="35"/>
  <c r="I19" i="35" s="1"/>
  <c r="I18" i="38"/>
  <c r="F16" i="38"/>
  <c r="I16" i="38" s="1"/>
  <c r="F14" i="38"/>
  <c r="I14" i="38" s="1"/>
  <c r="J16" i="38" s="1"/>
  <c r="E8" i="38"/>
  <c r="D14" i="37"/>
  <c r="F14" i="37" s="1"/>
  <c r="I15" i="37" s="1"/>
  <c r="D9" i="27"/>
  <c r="E25" i="35"/>
  <c r="H25" i="35" s="1"/>
  <c r="I25" i="35" s="1"/>
  <c r="I8" i="38" l="1"/>
  <c r="J8" i="38" s="1"/>
  <c r="J15" i="37"/>
  <c r="I2" i="37" s="1"/>
  <c r="G2" i="38"/>
  <c r="F2" i="37"/>
  <c r="E16" i="39" l="1"/>
  <c r="E37" i="35"/>
  <c r="H37" i="35" s="1"/>
  <c r="I37" i="35" s="1"/>
  <c r="E7" i="35"/>
  <c r="E13" i="35"/>
  <c r="H13" i="35" l="1"/>
  <c r="I13" i="35" s="1"/>
  <c r="H7" i="35"/>
  <c r="I7" i="35" s="1"/>
  <c r="I2" i="35" s="1"/>
  <c r="E10" i="39" s="1"/>
  <c r="J18" i="38"/>
  <c r="I2" i="38" s="1"/>
  <c r="E19" i="39" s="1"/>
  <c r="D9" i="13"/>
  <c r="E23" i="13"/>
  <c r="E24" i="13"/>
  <c r="E25" i="13"/>
  <c r="E26" i="13"/>
  <c r="E27" i="13"/>
  <c r="E28" i="13"/>
  <c r="E29" i="13"/>
  <c r="E30" i="13"/>
  <c r="E31" i="13"/>
  <c r="E32" i="13"/>
  <c r="E33" i="13"/>
  <c r="E34" i="13"/>
  <c r="E35" i="13"/>
  <c r="E21" i="13"/>
  <c r="E22" i="13"/>
  <c r="Q5" i="32"/>
  <c r="Q15" i="32"/>
  <c r="Q23" i="32"/>
  <c r="Q30" i="32"/>
  <c r="Q47" i="32"/>
  <c r="Q74" i="32"/>
  <c r="Q77" i="32"/>
  <c r="Q89" i="32"/>
  <c r="Q97" i="32"/>
  <c r="Q111" i="32"/>
  <c r="Q119" i="32"/>
  <c r="Q120" i="32"/>
  <c r="Q130" i="32"/>
  <c r="Q135" i="32"/>
  <c r="Q137" i="32"/>
  <c r="Q143" i="32"/>
  <c r="Q157" i="32"/>
  <c r="Q177" i="32"/>
  <c r="Q185" i="32"/>
  <c r="Q199" i="32"/>
  <c r="Q201" i="32"/>
  <c r="Q206" i="32"/>
  <c r="P2" i="32"/>
  <c r="Q2" i="32" s="1"/>
  <c r="P209" i="32"/>
  <c r="Q209" i="32" s="1"/>
  <c r="P208" i="32"/>
  <c r="Q208" i="32" s="1"/>
  <c r="P207" i="32"/>
  <c r="Q207" i="32" s="1"/>
  <c r="P205" i="32"/>
  <c r="Q205" i="32" s="1"/>
  <c r="P204" i="32"/>
  <c r="Q204" i="32" s="1"/>
  <c r="P203" i="32"/>
  <c r="Q203" i="32" s="1"/>
  <c r="P202" i="32"/>
  <c r="Q202" i="32" s="1"/>
  <c r="P201" i="32"/>
  <c r="P200" i="32"/>
  <c r="Q200" i="32" s="1"/>
  <c r="P199" i="32"/>
  <c r="P198" i="32"/>
  <c r="Q198" i="32" s="1"/>
  <c r="P197" i="32"/>
  <c r="Q197" i="32" s="1"/>
  <c r="P196" i="32"/>
  <c r="Q196" i="32" s="1"/>
  <c r="P195" i="32"/>
  <c r="Q195" i="32" s="1"/>
  <c r="P194" i="32"/>
  <c r="Q194" i="32" s="1"/>
  <c r="P193" i="32"/>
  <c r="Q193" i="32" s="1"/>
  <c r="P192" i="32"/>
  <c r="Q192" i="32" s="1"/>
  <c r="P191" i="32"/>
  <c r="Q191" i="32" s="1"/>
  <c r="P190" i="32"/>
  <c r="Q190" i="32" s="1"/>
  <c r="P189" i="32"/>
  <c r="Q189" i="32" s="1"/>
  <c r="P188" i="32"/>
  <c r="Q188" i="32" s="1"/>
  <c r="P187" i="32"/>
  <c r="Q187" i="32" s="1"/>
  <c r="P186" i="32"/>
  <c r="Q186" i="32" s="1"/>
  <c r="P185" i="32"/>
  <c r="P184" i="32"/>
  <c r="Q184" i="32" s="1"/>
  <c r="P183" i="32"/>
  <c r="Q183" i="32" s="1"/>
  <c r="P182" i="32"/>
  <c r="Q182" i="32" s="1"/>
  <c r="P181" i="32"/>
  <c r="Q181" i="32" s="1"/>
  <c r="P180" i="32"/>
  <c r="Q180" i="32" s="1"/>
  <c r="P179" i="32"/>
  <c r="Q179" i="32" s="1"/>
  <c r="P178" i="32"/>
  <c r="Q178" i="32" s="1"/>
  <c r="P177" i="32"/>
  <c r="P176" i="32"/>
  <c r="Q176" i="32" s="1"/>
  <c r="P175" i="32"/>
  <c r="Q175" i="32" s="1"/>
  <c r="P174" i="32"/>
  <c r="Q174" i="32" s="1"/>
  <c r="P173" i="32"/>
  <c r="Q173" i="32" s="1"/>
  <c r="P172" i="32"/>
  <c r="Q172" i="32" s="1"/>
  <c r="P171" i="32"/>
  <c r="Q171" i="32" s="1"/>
  <c r="P170" i="32"/>
  <c r="Q170" i="32" s="1"/>
  <c r="P169" i="32"/>
  <c r="Q169" i="32" s="1"/>
  <c r="P168" i="32"/>
  <c r="Q168" i="32" s="1"/>
  <c r="P167" i="32"/>
  <c r="Q167" i="32" s="1"/>
  <c r="P166" i="32"/>
  <c r="Q166" i="32" s="1"/>
  <c r="P165" i="32"/>
  <c r="Q165" i="32" s="1"/>
  <c r="P164" i="32"/>
  <c r="Q164" i="32" s="1"/>
  <c r="P163" i="32"/>
  <c r="Q163" i="32" s="1"/>
  <c r="P162" i="32"/>
  <c r="Q162" i="32" s="1"/>
  <c r="P161" i="32"/>
  <c r="Q161" i="32" s="1"/>
  <c r="P160" i="32"/>
  <c r="Q160" i="32" s="1"/>
  <c r="P159" i="32"/>
  <c r="Q159" i="32" s="1"/>
  <c r="P158" i="32"/>
  <c r="Q158" i="32" s="1"/>
  <c r="P157" i="32"/>
  <c r="P156" i="32"/>
  <c r="Q156" i="32" s="1"/>
  <c r="P155" i="32"/>
  <c r="Q155" i="32" s="1"/>
  <c r="P154" i="32"/>
  <c r="Q154" i="32" s="1"/>
  <c r="P153" i="32"/>
  <c r="Q153" i="32" s="1"/>
  <c r="P152" i="32"/>
  <c r="Q152" i="32" s="1"/>
  <c r="P151" i="32"/>
  <c r="Q151" i="32" s="1"/>
  <c r="P150" i="32"/>
  <c r="Q150" i="32" s="1"/>
  <c r="P149" i="32"/>
  <c r="Q149" i="32" s="1"/>
  <c r="P148" i="32"/>
  <c r="Q148" i="32" s="1"/>
  <c r="P147" i="32"/>
  <c r="Q147" i="32" s="1"/>
  <c r="P146" i="32"/>
  <c r="Q146" i="32" s="1"/>
  <c r="P145" i="32"/>
  <c r="Q145" i="32" s="1"/>
  <c r="P144" i="32"/>
  <c r="Q144" i="32" s="1"/>
  <c r="P143" i="32"/>
  <c r="P142" i="32"/>
  <c r="Q142" i="32" s="1"/>
  <c r="P141" i="32"/>
  <c r="Q141" i="32" s="1"/>
  <c r="P140" i="32"/>
  <c r="Q140" i="32" s="1"/>
  <c r="P139" i="32"/>
  <c r="Q139" i="32" s="1"/>
  <c r="P138" i="32"/>
  <c r="Q138" i="32" s="1"/>
  <c r="P137" i="32"/>
  <c r="P136" i="32"/>
  <c r="Q136" i="32" s="1"/>
  <c r="P135" i="32"/>
  <c r="P134" i="32"/>
  <c r="Q134" i="32" s="1"/>
  <c r="P133" i="32"/>
  <c r="Q133" i="32" s="1"/>
  <c r="P132" i="32"/>
  <c r="Q132" i="32" s="1"/>
  <c r="P131" i="32"/>
  <c r="Q131" i="32" s="1"/>
  <c r="P129" i="32"/>
  <c r="Q129" i="32" s="1"/>
  <c r="P128" i="32"/>
  <c r="Q128" i="32" s="1"/>
  <c r="P127" i="32"/>
  <c r="Q127" i="32" s="1"/>
  <c r="P126" i="32"/>
  <c r="Q126" i="32" s="1"/>
  <c r="P125" i="32"/>
  <c r="Q125" i="32" s="1"/>
  <c r="P124" i="32"/>
  <c r="Q124" i="32" s="1"/>
  <c r="P123" i="32"/>
  <c r="Q123" i="32" s="1"/>
  <c r="P122" i="32"/>
  <c r="Q122" i="32" s="1"/>
  <c r="P121" i="32"/>
  <c r="Q121" i="32" s="1"/>
  <c r="P119" i="32"/>
  <c r="P118" i="32"/>
  <c r="Q118" i="32" s="1"/>
  <c r="P117" i="32"/>
  <c r="Q117" i="32" s="1"/>
  <c r="P116" i="32"/>
  <c r="Q116" i="32" s="1"/>
  <c r="P115" i="32"/>
  <c r="Q115" i="32" s="1"/>
  <c r="P114" i="32"/>
  <c r="Q114" i="32" s="1"/>
  <c r="P113" i="32"/>
  <c r="Q113" i="32" s="1"/>
  <c r="P112" i="32"/>
  <c r="Q112" i="32" s="1"/>
  <c r="P111" i="32"/>
  <c r="P110" i="32"/>
  <c r="Q110" i="32" s="1"/>
  <c r="P109" i="32"/>
  <c r="Q109" i="32" s="1"/>
  <c r="P108" i="32"/>
  <c r="Q108" i="32" s="1"/>
  <c r="P107" i="32"/>
  <c r="Q107" i="32" s="1"/>
  <c r="P106" i="32"/>
  <c r="Q106" i="32" s="1"/>
  <c r="P105" i="32"/>
  <c r="Q105" i="32" s="1"/>
  <c r="P104" i="32"/>
  <c r="Q104" i="32" s="1"/>
  <c r="P103" i="32"/>
  <c r="Q103" i="32" s="1"/>
  <c r="P102" i="32"/>
  <c r="Q102" i="32" s="1"/>
  <c r="P101" i="32"/>
  <c r="Q101" i="32" s="1"/>
  <c r="P100" i="32"/>
  <c r="Q100" i="32" s="1"/>
  <c r="P99" i="32"/>
  <c r="Q99" i="32" s="1"/>
  <c r="P98" i="32"/>
  <c r="Q98" i="32" s="1"/>
  <c r="P97" i="32"/>
  <c r="P96" i="32"/>
  <c r="Q96" i="32" s="1"/>
  <c r="P95" i="32"/>
  <c r="Q95" i="32" s="1"/>
  <c r="P94" i="32"/>
  <c r="Q94" i="32" s="1"/>
  <c r="P93" i="32"/>
  <c r="Q93" i="32" s="1"/>
  <c r="P92" i="32"/>
  <c r="Q92" i="32" s="1"/>
  <c r="P91" i="32"/>
  <c r="Q91" i="32" s="1"/>
  <c r="P90" i="32"/>
  <c r="Q90" i="32" s="1"/>
  <c r="P89" i="32"/>
  <c r="P88" i="32"/>
  <c r="Q88" i="32" s="1"/>
  <c r="P87" i="32"/>
  <c r="Q87" i="32" s="1"/>
  <c r="P86" i="32"/>
  <c r="Q86" i="32" s="1"/>
  <c r="P85" i="32"/>
  <c r="Q85" i="32" s="1"/>
  <c r="P84" i="32"/>
  <c r="Q84" i="32" s="1"/>
  <c r="P83" i="32"/>
  <c r="Q83" i="32" s="1"/>
  <c r="P82" i="32"/>
  <c r="Q82" i="32" s="1"/>
  <c r="P81" i="32"/>
  <c r="Q81" i="32" s="1"/>
  <c r="P80" i="32"/>
  <c r="Q80" i="32" s="1"/>
  <c r="P79" i="32"/>
  <c r="Q79" i="32" s="1"/>
  <c r="P78" i="32"/>
  <c r="Q78" i="32" s="1"/>
  <c r="P77" i="32"/>
  <c r="P76" i="32"/>
  <c r="Q76" i="32" s="1"/>
  <c r="P75" i="32"/>
  <c r="Q75" i="32" s="1"/>
  <c r="P73" i="32"/>
  <c r="Q73" i="32" s="1"/>
  <c r="P72" i="32"/>
  <c r="Q72" i="32" s="1"/>
  <c r="P71" i="32"/>
  <c r="Q71" i="32" s="1"/>
  <c r="P70" i="32"/>
  <c r="Q70" i="32" s="1"/>
  <c r="P69" i="32"/>
  <c r="Q69" i="32" s="1"/>
  <c r="P68" i="32"/>
  <c r="Q68" i="32" s="1"/>
  <c r="P67" i="32"/>
  <c r="Q67" i="32" s="1"/>
  <c r="P66" i="32"/>
  <c r="Q66" i="32" s="1"/>
  <c r="P65" i="32"/>
  <c r="Q65" i="32" s="1"/>
  <c r="P64" i="32"/>
  <c r="Q64" i="32" s="1"/>
  <c r="P63" i="32"/>
  <c r="Q63" i="32" s="1"/>
  <c r="P62" i="32"/>
  <c r="Q62" i="32" s="1"/>
  <c r="P61" i="32"/>
  <c r="Q61" i="32" s="1"/>
  <c r="P60" i="32"/>
  <c r="Q60" i="32" s="1"/>
  <c r="P59" i="32"/>
  <c r="Q59" i="32" s="1"/>
  <c r="P58" i="32"/>
  <c r="Q58" i="32" s="1"/>
  <c r="P57" i="32"/>
  <c r="Q57" i="32" s="1"/>
  <c r="P56" i="32"/>
  <c r="Q56" i="32" s="1"/>
  <c r="P55" i="32"/>
  <c r="Q55" i="32" s="1"/>
  <c r="P54" i="32"/>
  <c r="Q54" i="32" s="1"/>
  <c r="P53" i="32"/>
  <c r="Q53" i="32" s="1"/>
  <c r="P52" i="32"/>
  <c r="Q52" i="32" s="1"/>
  <c r="P51" i="32"/>
  <c r="Q51" i="32" s="1"/>
  <c r="P50" i="32"/>
  <c r="Q50" i="32" s="1"/>
  <c r="P49" i="32"/>
  <c r="Q49" i="32" s="1"/>
  <c r="P48" i="32"/>
  <c r="Q48" i="32" s="1"/>
  <c r="P47" i="32"/>
  <c r="P46" i="32"/>
  <c r="Q46" i="32" s="1"/>
  <c r="P45" i="32"/>
  <c r="Q45" i="32" s="1"/>
  <c r="P44" i="32"/>
  <c r="Q44" i="32" s="1"/>
  <c r="P43" i="32"/>
  <c r="Q43" i="32" s="1"/>
  <c r="P42" i="32"/>
  <c r="Q42" i="32" s="1"/>
  <c r="P41" i="32"/>
  <c r="Q41" i="32" s="1"/>
  <c r="P40" i="32"/>
  <c r="Q40" i="32" s="1"/>
  <c r="P39" i="32"/>
  <c r="Q39" i="32" s="1"/>
  <c r="P38" i="32"/>
  <c r="Q38" i="32" s="1"/>
  <c r="P37" i="32"/>
  <c r="Q37" i="32" s="1"/>
  <c r="P36" i="32"/>
  <c r="Q36" i="32" s="1"/>
  <c r="P35" i="32"/>
  <c r="Q35" i="32" s="1"/>
  <c r="P34" i="32"/>
  <c r="Q34" i="32" s="1"/>
  <c r="P33" i="32"/>
  <c r="Q33" i="32" s="1"/>
  <c r="P32" i="32"/>
  <c r="Q32" i="32" s="1"/>
  <c r="P31" i="32"/>
  <c r="Q31" i="32" s="1"/>
  <c r="P29" i="32"/>
  <c r="Q29" i="32" s="1"/>
  <c r="P28" i="32"/>
  <c r="Q28" i="32" s="1"/>
  <c r="P27" i="32"/>
  <c r="Q27" i="32" s="1"/>
  <c r="P26" i="32"/>
  <c r="Q26" i="32" s="1"/>
  <c r="P25" i="32"/>
  <c r="Q25" i="32" s="1"/>
  <c r="P24" i="32"/>
  <c r="Q24" i="32" s="1"/>
  <c r="P23" i="32"/>
  <c r="P22" i="32"/>
  <c r="Q22" i="32" s="1"/>
  <c r="P21" i="32"/>
  <c r="Q21" i="32" s="1"/>
  <c r="P20" i="32"/>
  <c r="Q20" i="32" s="1"/>
  <c r="P19" i="32"/>
  <c r="Q19" i="32" s="1"/>
  <c r="P18" i="32"/>
  <c r="Q18" i="32" s="1"/>
  <c r="P17" i="32"/>
  <c r="Q17" i="32" s="1"/>
  <c r="P16" i="32"/>
  <c r="Q16" i="32" s="1"/>
  <c r="P15" i="32"/>
  <c r="P14" i="32"/>
  <c r="Q14" i="32" s="1"/>
  <c r="P13" i="32"/>
  <c r="Q13" i="32" s="1"/>
  <c r="P12" i="32"/>
  <c r="Q12" i="32" s="1"/>
  <c r="P11" i="32"/>
  <c r="Q11" i="32" s="1"/>
  <c r="P10" i="32"/>
  <c r="Q10" i="32" s="1"/>
  <c r="P9" i="32"/>
  <c r="Q9" i="32" s="1"/>
  <c r="P8" i="32"/>
  <c r="Q8" i="32" s="1"/>
  <c r="P7" i="32"/>
  <c r="Q7" i="32" s="1"/>
  <c r="P6" i="32"/>
  <c r="Q6" i="32" s="1"/>
  <c r="P4" i="32"/>
  <c r="Q4" i="32" s="1"/>
  <c r="P3" i="32"/>
  <c r="Q3" i="32" s="1"/>
  <c r="O2" i="32"/>
  <c r="O3" i="32"/>
  <c r="O4" i="32"/>
  <c r="O5" i="32"/>
  <c r="O6" i="32"/>
  <c r="O7" i="32"/>
  <c r="O8" i="32"/>
  <c r="O9" i="32"/>
  <c r="O10" i="32"/>
  <c r="O11" i="32"/>
  <c r="O12" i="32"/>
  <c r="O13" i="32"/>
  <c r="O14" i="32"/>
  <c r="O15" i="32"/>
  <c r="O16" i="32"/>
  <c r="O17" i="32"/>
  <c r="O18" i="32"/>
  <c r="O19" i="32"/>
  <c r="O20" i="32"/>
  <c r="O21" i="32"/>
  <c r="O22" i="32"/>
  <c r="O23" i="32"/>
  <c r="O24" i="32"/>
  <c r="O25" i="32"/>
  <c r="O26" i="32"/>
  <c r="O27" i="32"/>
  <c r="O28" i="32"/>
  <c r="O29" i="32"/>
  <c r="O30" i="32"/>
  <c r="O31" i="32"/>
  <c r="O32" i="32"/>
  <c r="O33" i="32"/>
  <c r="O34" i="32"/>
  <c r="O35" i="32"/>
  <c r="O36" i="32"/>
  <c r="O37" i="32"/>
  <c r="O38" i="32"/>
  <c r="O39" i="32"/>
  <c r="O40" i="32"/>
  <c r="O41" i="32"/>
  <c r="O42" i="32"/>
  <c r="O43" i="32"/>
  <c r="O44" i="32"/>
  <c r="O45" i="32"/>
  <c r="O46" i="32"/>
  <c r="O47" i="32"/>
  <c r="O48" i="32"/>
  <c r="O49" i="32"/>
  <c r="O50" i="32"/>
  <c r="O51" i="32"/>
  <c r="O52" i="32"/>
  <c r="O53" i="32"/>
  <c r="O54" i="32"/>
  <c r="O55" i="32"/>
  <c r="O56" i="32"/>
  <c r="O57" i="32"/>
  <c r="O58" i="32"/>
  <c r="O59" i="32"/>
  <c r="O60" i="32"/>
  <c r="O61" i="32"/>
  <c r="O62" i="32"/>
  <c r="O63" i="32"/>
  <c r="O64" i="32"/>
  <c r="O65" i="32"/>
  <c r="O66" i="32"/>
  <c r="O67" i="32"/>
  <c r="O68" i="32"/>
  <c r="O69" i="32"/>
  <c r="O70" i="32"/>
  <c r="O71" i="32"/>
  <c r="O72" i="32"/>
  <c r="O73" i="32"/>
  <c r="O74" i="32"/>
  <c r="O75" i="32"/>
  <c r="O76" i="32"/>
  <c r="O77" i="32"/>
  <c r="O78" i="32"/>
  <c r="O79" i="32"/>
  <c r="O80" i="32"/>
  <c r="O81" i="32"/>
  <c r="O82" i="32"/>
  <c r="O83" i="32"/>
  <c r="O84" i="32"/>
  <c r="O85" i="32"/>
  <c r="O86" i="32"/>
  <c r="O87" i="32"/>
  <c r="O88" i="32"/>
  <c r="O89" i="32"/>
  <c r="O90" i="32"/>
  <c r="O91" i="32"/>
  <c r="O92" i="32"/>
  <c r="O93" i="32"/>
  <c r="O94" i="32"/>
  <c r="O95" i="32"/>
  <c r="O96" i="32"/>
  <c r="O97" i="32"/>
  <c r="O98" i="32"/>
  <c r="O99" i="32"/>
  <c r="O100" i="32"/>
  <c r="O101" i="32"/>
  <c r="O102" i="32"/>
  <c r="O103" i="32"/>
  <c r="O104" i="32"/>
  <c r="O105" i="32"/>
  <c r="O106" i="32"/>
  <c r="O107" i="32"/>
  <c r="O108" i="32"/>
  <c r="O109" i="32"/>
  <c r="O110" i="32"/>
  <c r="O111" i="32"/>
  <c r="O112" i="32"/>
  <c r="O113" i="32"/>
  <c r="O114" i="32"/>
  <c r="O115" i="32"/>
  <c r="O116" i="32"/>
  <c r="O117" i="32"/>
  <c r="O118" i="32"/>
  <c r="O119" i="32"/>
  <c r="O120" i="32"/>
  <c r="O121" i="32"/>
  <c r="O122" i="32"/>
  <c r="O123" i="32"/>
  <c r="O124" i="32"/>
  <c r="O125" i="32"/>
  <c r="O126" i="32"/>
  <c r="O127" i="32"/>
  <c r="O128" i="32"/>
  <c r="O129" i="32"/>
  <c r="O130" i="32"/>
  <c r="O131" i="32"/>
  <c r="O132" i="32"/>
  <c r="O133" i="32"/>
  <c r="O134" i="32"/>
  <c r="O135" i="32"/>
  <c r="O136" i="32"/>
  <c r="O137" i="32"/>
  <c r="O138" i="32"/>
  <c r="O139" i="32"/>
  <c r="O140" i="32"/>
  <c r="O141" i="32"/>
  <c r="O142" i="32"/>
  <c r="O143" i="32"/>
  <c r="O144" i="32"/>
  <c r="O145" i="32"/>
  <c r="O146" i="32"/>
  <c r="O147" i="32"/>
  <c r="O148" i="32"/>
  <c r="O149" i="32"/>
  <c r="O150" i="32"/>
  <c r="O151" i="32"/>
  <c r="O152" i="32"/>
  <c r="O153" i="32"/>
  <c r="O154" i="32"/>
  <c r="O155" i="32"/>
  <c r="O156" i="32"/>
  <c r="O157" i="32"/>
  <c r="O158" i="32"/>
  <c r="O159" i="32"/>
  <c r="O160" i="32"/>
  <c r="O161" i="32"/>
  <c r="O162" i="32"/>
  <c r="O163" i="32"/>
  <c r="O164" i="32"/>
  <c r="O165" i="32"/>
  <c r="O166" i="32"/>
  <c r="O167" i="32"/>
  <c r="O168" i="32"/>
  <c r="O169" i="32"/>
  <c r="O170" i="32"/>
  <c r="O171" i="32"/>
  <c r="O172" i="32"/>
  <c r="O173" i="32"/>
  <c r="O174" i="32"/>
  <c r="O175" i="32"/>
  <c r="O176" i="32"/>
  <c r="O177" i="32"/>
  <c r="O178" i="32"/>
  <c r="O179" i="32"/>
  <c r="O180" i="32"/>
  <c r="O181" i="32"/>
  <c r="O182" i="32"/>
  <c r="O183" i="32"/>
  <c r="O184" i="32"/>
  <c r="O185" i="32"/>
  <c r="O186" i="32"/>
  <c r="O187" i="32"/>
  <c r="O188" i="32"/>
  <c r="O189" i="32"/>
  <c r="O190" i="32"/>
  <c r="O191" i="32"/>
  <c r="O192" i="32"/>
  <c r="O193" i="32"/>
  <c r="O194" i="32"/>
  <c r="O195" i="32"/>
  <c r="O196" i="32"/>
  <c r="O197" i="32"/>
  <c r="O198" i="32"/>
  <c r="O199" i="32"/>
  <c r="O200" i="32"/>
  <c r="O201" i="32"/>
  <c r="O202" i="32"/>
  <c r="O203" i="32"/>
  <c r="O204" i="32"/>
  <c r="O205" i="32"/>
  <c r="O206" i="32"/>
  <c r="O207" i="32"/>
  <c r="O208" i="32"/>
  <c r="O209" i="32"/>
  <c r="M209" i="32"/>
  <c r="M208" i="32"/>
  <c r="M207" i="32"/>
  <c r="M206" i="32"/>
  <c r="M205" i="32"/>
  <c r="M204" i="32"/>
  <c r="M203" i="32"/>
  <c r="M202" i="32"/>
  <c r="M201" i="32"/>
  <c r="M200" i="32"/>
  <c r="M199" i="32"/>
  <c r="M198" i="32"/>
  <c r="M197" i="32"/>
  <c r="M196" i="32"/>
  <c r="M195" i="32"/>
  <c r="M194" i="32"/>
  <c r="M193" i="32"/>
  <c r="M192" i="32"/>
  <c r="M191" i="32"/>
  <c r="M190" i="32"/>
  <c r="M189" i="32"/>
  <c r="M188" i="32"/>
  <c r="M187" i="32"/>
  <c r="M186" i="32"/>
  <c r="M185" i="32"/>
  <c r="M184" i="32"/>
  <c r="M183" i="32"/>
  <c r="M182" i="32"/>
  <c r="M181" i="32"/>
  <c r="M180" i="32"/>
  <c r="M179" i="32"/>
  <c r="M178" i="32"/>
  <c r="M177" i="32"/>
  <c r="M176" i="32"/>
  <c r="M175" i="32"/>
  <c r="M174" i="32"/>
  <c r="M173" i="32"/>
  <c r="M172" i="32"/>
  <c r="M171" i="32"/>
  <c r="M170" i="32"/>
  <c r="M169" i="32"/>
  <c r="M168" i="32"/>
  <c r="M167" i="32"/>
  <c r="M166" i="32"/>
  <c r="M165" i="32"/>
  <c r="M164" i="32"/>
  <c r="M163" i="32"/>
  <c r="M162" i="32"/>
  <c r="M161" i="32"/>
  <c r="M160" i="32"/>
  <c r="M159" i="32"/>
  <c r="M158" i="32"/>
  <c r="M157" i="32"/>
  <c r="M156" i="32"/>
  <c r="M155" i="32"/>
  <c r="M154" i="32"/>
  <c r="M153" i="32"/>
  <c r="M152" i="32"/>
  <c r="M151" i="32"/>
  <c r="M150" i="32"/>
  <c r="M149" i="32"/>
  <c r="M148" i="32"/>
  <c r="M147" i="32"/>
  <c r="M146" i="32"/>
  <c r="M145" i="32"/>
  <c r="M144" i="32"/>
  <c r="M143" i="32"/>
  <c r="M142" i="32"/>
  <c r="M141" i="32"/>
  <c r="M140" i="32"/>
  <c r="M139" i="32"/>
  <c r="M138" i="32"/>
  <c r="M137" i="32"/>
  <c r="M136" i="32"/>
  <c r="M135" i="32"/>
  <c r="M134" i="32"/>
  <c r="M133" i="32"/>
  <c r="M132" i="32"/>
  <c r="M131" i="32"/>
  <c r="M130" i="32"/>
  <c r="M129" i="32"/>
  <c r="M128" i="32"/>
  <c r="M127" i="32"/>
  <c r="M126" i="32"/>
  <c r="M125" i="32"/>
  <c r="M124" i="32"/>
  <c r="M123" i="32"/>
  <c r="M122" i="32"/>
  <c r="M121" i="32"/>
  <c r="M120" i="32"/>
  <c r="M119" i="32"/>
  <c r="M118" i="32"/>
  <c r="M117" i="32"/>
  <c r="M116" i="32"/>
  <c r="M115" i="32"/>
  <c r="M114" i="32"/>
  <c r="M113" i="32"/>
  <c r="M112" i="32"/>
  <c r="M111" i="32"/>
  <c r="M110" i="32"/>
  <c r="M109" i="32"/>
  <c r="M108" i="32"/>
  <c r="M107" i="32"/>
  <c r="M106" i="32"/>
  <c r="M105" i="32"/>
  <c r="M104" i="32"/>
  <c r="M103" i="32"/>
  <c r="M102" i="32"/>
  <c r="M101" i="32"/>
  <c r="M100" i="32"/>
  <c r="M99" i="32"/>
  <c r="M98" i="32"/>
  <c r="M97" i="32"/>
  <c r="M96" i="32"/>
  <c r="M95" i="32"/>
  <c r="M94" i="32"/>
  <c r="M93" i="32"/>
  <c r="M92" i="32"/>
  <c r="M91" i="32"/>
  <c r="M90" i="32"/>
  <c r="M89" i="32"/>
  <c r="M88" i="32"/>
  <c r="M87" i="32"/>
  <c r="M86" i="32"/>
  <c r="M85" i="32"/>
  <c r="M84" i="32"/>
  <c r="M83" i="32"/>
  <c r="M82" i="32"/>
  <c r="M81" i="32"/>
  <c r="M80" i="32"/>
  <c r="M79" i="32"/>
  <c r="M78" i="32"/>
  <c r="M77" i="32"/>
  <c r="M76" i="32"/>
  <c r="M75" i="32"/>
  <c r="M74" i="32"/>
  <c r="M73" i="32"/>
  <c r="M72" i="32"/>
  <c r="M71" i="32"/>
  <c r="M70" i="32"/>
  <c r="M69" i="32"/>
  <c r="M68" i="32"/>
  <c r="M67" i="32"/>
  <c r="M66" i="32"/>
  <c r="M65" i="32"/>
  <c r="M64" i="32"/>
  <c r="M63" i="32"/>
  <c r="M62" i="32"/>
  <c r="M61" i="32"/>
  <c r="M60" i="32"/>
  <c r="M59" i="32"/>
  <c r="M58" i="32"/>
  <c r="M57" i="32"/>
  <c r="M56" i="32"/>
  <c r="M55" i="32"/>
  <c r="M54" i="32"/>
  <c r="M53" i="32"/>
  <c r="M52" i="32"/>
  <c r="M51" i="32"/>
  <c r="M50" i="32"/>
  <c r="M49" i="32"/>
  <c r="M48" i="32"/>
  <c r="M47" i="32"/>
  <c r="M46" i="32"/>
  <c r="M45" i="32"/>
  <c r="M44" i="32"/>
  <c r="M43" i="32"/>
  <c r="M42" i="32"/>
  <c r="M41" i="32"/>
  <c r="M40" i="32"/>
  <c r="M39" i="32"/>
  <c r="M38" i="32"/>
  <c r="M37" i="32"/>
  <c r="M36" i="32"/>
  <c r="M35" i="32"/>
  <c r="M34" i="32"/>
  <c r="M33" i="32"/>
  <c r="M32" i="32"/>
  <c r="M31" i="32"/>
  <c r="M30" i="32"/>
  <c r="M29" i="32"/>
  <c r="M28" i="32"/>
  <c r="M27" i="32"/>
  <c r="M26" i="32"/>
  <c r="M25" i="32"/>
  <c r="M24" i="32"/>
  <c r="M23" i="32"/>
  <c r="M22" i="32"/>
  <c r="M21" i="32"/>
  <c r="M20" i="32"/>
  <c r="M19" i="32"/>
  <c r="M18" i="32"/>
  <c r="M17" i="32"/>
  <c r="M16" i="32"/>
  <c r="M15" i="32"/>
  <c r="M14" i="32"/>
  <c r="M13" i="32"/>
  <c r="M12" i="32"/>
  <c r="M11" i="32"/>
  <c r="M10" i="32"/>
  <c r="M9" i="32"/>
  <c r="M8" i="32"/>
  <c r="M7" i="32"/>
  <c r="M6" i="32"/>
  <c r="M5" i="32"/>
  <c r="M4" i="32"/>
  <c r="M3" i="32"/>
  <c r="M2" i="32"/>
  <c r="L2" i="32"/>
  <c r="L3" i="32"/>
  <c r="L4" i="32"/>
  <c r="L5" i="32"/>
  <c r="L6" i="32"/>
  <c r="L7" i="32"/>
  <c r="L8" i="32"/>
  <c r="L9" i="32"/>
  <c r="L10" i="32"/>
  <c r="L11" i="32"/>
  <c r="L12" i="32"/>
  <c r="L13" i="32"/>
  <c r="L14" i="32"/>
  <c r="L15" i="32"/>
  <c r="L16" i="32"/>
  <c r="L17" i="32"/>
  <c r="L18" i="32"/>
  <c r="L19" i="32"/>
  <c r="L20" i="32"/>
  <c r="L21" i="32"/>
  <c r="L22" i="32"/>
  <c r="L23" i="32"/>
  <c r="L24" i="32"/>
  <c r="L25" i="32"/>
  <c r="L26" i="32"/>
  <c r="L27" i="32"/>
  <c r="L28" i="32"/>
  <c r="L29" i="32"/>
  <c r="L30" i="32"/>
  <c r="L31" i="32"/>
  <c r="L32" i="32"/>
  <c r="L33" i="32"/>
  <c r="L34" i="32"/>
  <c r="L35" i="32"/>
  <c r="L36" i="32"/>
  <c r="L37" i="32"/>
  <c r="L38" i="32"/>
  <c r="L39" i="32"/>
  <c r="L40" i="32"/>
  <c r="L41" i="32"/>
  <c r="L42" i="32"/>
  <c r="L43" i="32"/>
  <c r="L44" i="32"/>
  <c r="L45" i="32"/>
  <c r="L46" i="32"/>
  <c r="L47" i="32"/>
  <c r="L48" i="32"/>
  <c r="L49" i="32"/>
  <c r="L50" i="32"/>
  <c r="L51" i="32"/>
  <c r="L52" i="32"/>
  <c r="L53" i="32"/>
  <c r="L54" i="32"/>
  <c r="L55" i="32"/>
  <c r="L56" i="32"/>
  <c r="L57" i="32"/>
  <c r="L58" i="32"/>
  <c r="L59" i="32"/>
  <c r="L60" i="32"/>
  <c r="L61" i="32"/>
  <c r="L62" i="32"/>
  <c r="L63" i="32"/>
  <c r="L64" i="32"/>
  <c r="L65" i="32"/>
  <c r="L66" i="32"/>
  <c r="L67" i="32"/>
  <c r="L68" i="32"/>
  <c r="L69" i="32"/>
  <c r="L70" i="32"/>
  <c r="L71" i="32"/>
  <c r="L72" i="32"/>
  <c r="L73" i="32"/>
  <c r="L74" i="32"/>
  <c r="L75" i="32"/>
  <c r="L76" i="32"/>
  <c r="L77" i="32"/>
  <c r="L78" i="32"/>
  <c r="L79" i="32"/>
  <c r="L80" i="32"/>
  <c r="L81" i="32"/>
  <c r="L82" i="32"/>
  <c r="L83" i="32"/>
  <c r="L84" i="32"/>
  <c r="L85" i="32"/>
  <c r="L86" i="32"/>
  <c r="L87" i="32"/>
  <c r="L88" i="32"/>
  <c r="L89" i="32"/>
  <c r="L90" i="32"/>
  <c r="L91" i="32"/>
  <c r="L92" i="32"/>
  <c r="L93" i="32"/>
  <c r="L94" i="32"/>
  <c r="L95" i="32"/>
  <c r="L96" i="32"/>
  <c r="L97" i="32"/>
  <c r="L98" i="32"/>
  <c r="L99" i="32"/>
  <c r="L100" i="32"/>
  <c r="L101" i="32"/>
  <c r="L102" i="32"/>
  <c r="L103" i="32"/>
  <c r="L104" i="32"/>
  <c r="L105" i="32"/>
  <c r="L106" i="32"/>
  <c r="L107" i="32"/>
  <c r="L108" i="32"/>
  <c r="L109" i="32"/>
  <c r="L110" i="32"/>
  <c r="L111" i="32"/>
  <c r="L112" i="32"/>
  <c r="L113" i="32"/>
  <c r="L114" i="32"/>
  <c r="L115" i="32"/>
  <c r="L116" i="32"/>
  <c r="L117" i="32"/>
  <c r="L118" i="32"/>
  <c r="L119" i="32"/>
  <c r="L120" i="32"/>
  <c r="L121" i="32"/>
  <c r="L122" i="32"/>
  <c r="L123" i="32"/>
  <c r="L124" i="32"/>
  <c r="L125" i="32"/>
  <c r="L126" i="32"/>
  <c r="L127" i="32"/>
  <c r="L128" i="32"/>
  <c r="L129" i="32"/>
  <c r="L130" i="32"/>
  <c r="L131" i="32"/>
  <c r="L132" i="32"/>
  <c r="L133" i="32"/>
  <c r="L134" i="32"/>
  <c r="L135" i="32"/>
  <c r="L136" i="32"/>
  <c r="L137" i="32"/>
  <c r="L138" i="32"/>
  <c r="L139" i="32"/>
  <c r="L140" i="32"/>
  <c r="L141" i="32"/>
  <c r="L142" i="32"/>
  <c r="L143" i="32"/>
  <c r="L144" i="32"/>
  <c r="L145" i="32"/>
  <c r="L146" i="32"/>
  <c r="L147" i="32"/>
  <c r="L148" i="32"/>
  <c r="L149" i="32"/>
  <c r="L150" i="32"/>
  <c r="L151" i="32"/>
  <c r="L152" i="32"/>
  <c r="L153" i="32"/>
  <c r="L154" i="32"/>
  <c r="L155" i="32"/>
  <c r="L156" i="32"/>
  <c r="L157" i="32"/>
  <c r="L158" i="32"/>
  <c r="L159" i="32"/>
  <c r="L160" i="32"/>
  <c r="L161" i="32"/>
  <c r="L162" i="32"/>
  <c r="L163" i="32"/>
  <c r="L164" i="32"/>
  <c r="L165" i="32"/>
  <c r="L166" i="32"/>
  <c r="L167" i="32"/>
  <c r="L168" i="32"/>
  <c r="L169" i="32"/>
  <c r="L170" i="32"/>
  <c r="L171" i="32"/>
  <c r="L172" i="32"/>
  <c r="L173" i="32"/>
  <c r="L174" i="32"/>
  <c r="L175" i="32"/>
  <c r="L176" i="32"/>
  <c r="L177" i="32"/>
  <c r="L178" i="32"/>
  <c r="L179" i="32"/>
  <c r="L180" i="32"/>
  <c r="L181" i="32"/>
  <c r="L182" i="32"/>
  <c r="L183" i="32"/>
  <c r="L184" i="32"/>
  <c r="L185" i="32"/>
  <c r="L186" i="32"/>
  <c r="L187" i="32"/>
  <c r="L188" i="32"/>
  <c r="L189" i="32"/>
  <c r="L190" i="32"/>
  <c r="L191" i="32"/>
  <c r="L192" i="32"/>
  <c r="L193" i="32"/>
  <c r="L194" i="32"/>
  <c r="L195" i="32"/>
  <c r="L196" i="32"/>
  <c r="L197" i="32"/>
  <c r="L198" i="32"/>
  <c r="L199" i="32"/>
  <c r="L200" i="32"/>
  <c r="L201" i="32"/>
  <c r="L202" i="32"/>
  <c r="L203" i="32"/>
  <c r="L204" i="32"/>
  <c r="L205" i="32"/>
  <c r="L206" i="32"/>
  <c r="L207" i="32"/>
  <c r="L208" i="32"/>
  <c r="L209" i="32"/>
  <c r="E13" i="13" l="1"/>
  <c r="F13" i="13" s="1"/>
  <c r="G13" i="13" s="1"/>
  <c r="E19" i="13"/>
  <c r="E12" i="13"/>
  <c r="F12" i="13" s="1"/>
  <c r="G12" i="13" s="1"/>
  <c r="E18" i="13"/>
  <c r="E11" i="13"/>
  <c r="F11" i="13" s="1"/>
  <c r="G11" i="13" s="1"/>
  <c r="E11" i="27"/>
  <c r="E11" i="26"/>
  <c r="F11" i="26" s="1"/>
  <c r="G11" i="26" s="1"/>
  <c r="G48" i="26" s="1"/>
  <c r="E20" i="13"/>
  <c r="E17" i="13"/>
  <c r="F17" i="13" s="1"/>
  <c r="G17" i="13" s="1"/>
  <c r="E15" i="13"/>
  <c r="F15" i="13" s="1"/>
  <c r="G15" i="13" s="1"/>
  <c r="E16" i="13"/>
  <c r="F16" i="13" s="1"/>
  <c r="G16" i="13" s="1"/>
  <c r="E14" i="13"/>
  <c r="F14" i="13" s="1"/>
  <c r="G14" i="13" s="1"/>
  <c r="F11" i="27" l="1"/>
  <c r="G11" i="27" s="1"/>
  <c r="C14" i="36" s="1"/>
  <c r="G48" i="13"/>
  <c r="D8" i="36" s="1"/>
  <c r="D14" i="36" s="1"/>
  <c r="C8" i="36"/>
  <c r="E8" i="36" s="1"/>
  <c r="I8" i="36" s="1"/>
  <c r="J8" i="36" s="1"/>
  <c r="J21" i="36" l="1"/>
  <c r="E14" i="36" l="1"/>
  <c r="I14" i="36" s="1"/>
  <c r="J14" i="36" l="1"/>
  <c r="I2" i="36" s="1"/>
  <c r="D4" i="39" s="1"/>
  <c r="E13" i="39" l="1"/>
  <c r="D6" i="39"/>
  <c r="G4" i="39" l="1"/>
</calcChain>
</file>

<file path=xl/comments1.xml><?xml version="1.0" encoding="utf-8"?>
<comments xmlns="http://schemas.openxmlformats.org/spreadsheetml/2006/main">
  <authors>
    <author>Manuel António Ferrinho Semedo</author>
  </authors>
  <commentList>
    <comment ref="C7" authorId="0" shapeId="0">
      <text>
        <r>
          <rPr>
            <sz val="9"/>
            <color indexed="81"/>
            <rFont val="Tahoma"/>
            <family val="2"/>
          </rPr>
          <t>Deve ser preenchida a informação na folha "Diagnóstico Arbóreo" consoante o levantamento topográfico prévio às obras de edificação.</t>
        </r>
      </text>
    </comment>
    <comment ref="D7" authorId="0" shapeId="0">
      <text>
        <r>
          <rPr>
            <sz val="9"/>
            <color indexed="81"/>
            <rFont val="Tahoma"/>
            <family val="2"/>
          </rPr>
          <t>Deve ser preenchida a informação na folha "Área arbórea conservada" conforme os exemplares que serão conservados durante a obra.</t>
        </r>
      </text>
    </comment>
    <comment ref="C13" authorId="0" shapeId="0">
      <text>
        <r>
          <rPr>
            <sz val="9"/>
            <color indexed="81"/>
            <rFont val="Tahoma"/>
            <family val="2"/>
          </rPr>
          <t>Deve ser preenchida a informação na folha "Área arborizada" consoante os exemplares arbóreos introduzidos.</t>
        </r>
      </text>
    </comment>
  </commentList>
</comments>
</file>

<file path=xl/comments2.xml><?xml version="1.0" encoding="utf-8"?>
<comments xmlns="http://schemas.openxmlformats.org/spreadsheetml/2006/main">
  <authors>
    <author>Manuel António Ferrinho Semedo</author>
  </authors>
  <commentList>
    <comment ref="J13" authorId="0" shapeId="0">
      <text>
        <r>
          <rPr>
            <sz val="9"/>
            <color indexed="81"/>
            <rFont val="Tahoma"/>
            <family val="2"/>
          </rPr>
          <t>Aplica-se apenas se obra principal for obra de reconstrução</t>
        </r>
      </text>
    </comment>
  </commentList>
</comments>
</file>

<file path=xl/sharedStrings.xml><?xml version="1.0" encoding="utf-8"?>
<sst xmlns="http://schemas.openxmlformats.org/spreadsheetml/2006/main" count="6083" uniqueCount="1480">
  <si>
    <t>Domínio</t>
  </si>
  <si>
    <t>Operacionalização</t>
  </si>
  <si>
    <t>Cálculo</t>
  </si>
  <si>
    <t>B</t>
  </si>
  <si>
    <t>A</t>
  </si>
  <si>
    <r>
      <rPr>
        <b/>
        <sz val="11"/>
        <color theme="1"/>
        <rFont val="Calibri"/>
        <family val="2"/>
        <scheme val="minor"/>
      </rPr>
      <t>Artigo 135.º - Edificabilidade concreta e compensações</t>
    </r>
    <r>
      <rPr>
        <sz val="11"/>
        <color theme="1"/>
        <rFont val="Calibri"/>
        <family val="2"/>
        <scheme val="minor"/>
      </rPr>
      <t xml:space="preserve">
1. A edificabilidade de cada prédio ou conjunto de prédios respeita as disposições (quantitativas e qualitativas) estabelecidas pelo Plano e demais regulamentação aplicável.
2. A edificabilidade concreta, a autorizar a proprietário ou conjunto de proprietários em cada operação urbanística, articula a edificabilidade a que se refere o número anterior com a edificabilidade abstrata, sendo que:
a) Quando a edificabilidade de prédio (ou conjunto de prédios) for superior à abstrata:
i) é cedido ao Município uma área com a edificabilidade em excesso, salvo se razões urbanísticas ou logísticas o impeçam ou desaconselhem;
ii) não se verificando a cedência, o promotor paga uma compensação ao Município proporcional à edificabilidade concreta que exceda a abstrata.
b) Quando, por razões urbanísticas que não decorram das características próprias do respetivo prédio (biofísicas, patrimoniais ou cadastrais), a edificabilidade for inferior à abstrata:
i) a edificabilidade concreta pode aproximar-se da abstrata, desde que daí não decorram inconvenientes urbanísticos;
ii) não sendo tal adequado ou suficiente, o Município paga uma compensação ao promotor proporcional à diferença entre a edificabilidade concreta e a abstrata.
3. O valor das compensações a aplicar nas situações referidas no n.º 2 é estabelecido em regulamento municipal.
4. Quando, respeitando as regras de edificabilidade, o proprietário, podendo atingir a edificabilidade abstrata não o queira fazer, não há lugar a qualquer compensação.
5. Não há lugar a qualquer compensação ao FMSAU quando se trate de edificação de equipamentos de utilização coletiva de relevante interesse municipal, como tal reconhecido pela Câmara Municipal.</t>
    </r>
  </si>
  <si>
    <t>a edificabilidade legal já existente numa dada parcela ou a que vier a ser estabelecida em processo de gestão urbanística</t>
  </si>
  <si>
    <t>Edificabilidade concreta</t>
  </si>
  <si>
    <t>PDM</t>
  </si>
  <si>
    <t>a afeta pelo Plano ao proprietário de cada parcela (ou conjunto de parcelas), referencia-se à edificabilidade média subtraída da edificabilidade afeta ao FMSAU</t>
  </si>
  <si>
    <t>Edificabilidade abstrata</t>
  </si>
  <si>
    <t>referente a cada uma das UOPG delimitadas pelo Plano para efeitos perequativos, doravante designadas Unidades Territoriais (UT), exprime o quociente entre o total da área de edificação nela admitida (incluindo a existente) e a respetiva área territorial</t>
  </si>
  <si>
    <t>Edificabilidade média</t>
  </si>
  <si>
    <r>
      <rPr>
        <b/>
        <sz val="11"/>
        <color theme="1"/>
        <rFont val="Calibri"/>
        <family val="2"/>
        <scheme val="minor"/>
      </rPr>
      <t>Artigo 134.º - Edificabilidade média e edificabilidade abstrata</t>
    </r>
    <r>
      <rPr>
        <sz val="11"/>
        <color theme="1"/>
        <rFont val="Calibri"/>
        <family val="2"/>
        <scheme val="minor"/>
      </rPr>
      <t xml:space="preserve">
1. Das disposições deste Plano decorrem, para as UT referidas no artigo anterior, as seguintes edificabilidades médias:
a) Área Central: 1,2 m2ae/m2;
b) Área Ocidental e Arco Exterior: 0,7 m2ae/m2;
c) Área Oriental: 0,25 m2ae/m2.
2. A edificabilidade abstrata atribuída a cada proprietário é, salvo nas situações referidas nos pontos 3 e 4:
a) Na Área Central, para cada parcela, a maior das seguintes:
i. 1,0 m2ae x área da parcela;
ii. 1,7 m2ae x área da parcela situada até 30 m de via infraestruturada existente.
b) Na Área Ocidental e Arco Exterior, para cada parcela, a maior das seguintes:
i. 0,6 m2ae x área da parcela;
ii. 1,0 m2ae x área da parcela situada até 30 m de via infraestruturada existente.
c) Na Área Oriental: para cada parcela, a maior das seguintes:
i. 0,2 m2ae x área da parcela;
ii. 0,35 m2ae x área da parcela situada até 30 m de via infraestruturada existente.
3. Nas áreas com condicionantes biofísicos à edificabilidade:
a) A edificabilidade abstrata é, inerentemente, zero;
b) É-lhes atribuída, para efeitos perequativos e de valoração, uma edificabilidade abstrata de 0,2 m2ae/m2 quando, por imposição do Plano, devam integrar o domínio público;
c) É-lhes admitida uma edificabilidade abstrata que no máximo pode ser igual à da UT onde se inserem, quando o Plano as destine a consolidação edificatória.
4. Nas áreas destinadas pelo Plano a atividade aconómica, a edificabilidade abstrata é, para cada parcela, a maior das seguintes:
a) 1,0 m2ae x área da parcela;
b) 1,8 m2ae x área da parcela situada até 30 m de via infraestruturada existente, quando inserida em “Área de Atividades Económicas Tipo I”.
c) 1,4 m2ae x área da parcela situada até 30 m de via infraestruturada existente, quando inserida em “Área de Atividades Económicas Tipo II”.
5. A diferença entre edificabilidade média e edificabilidade abstrata corresponde, genericamente, à edificabilidade a atribuir ao FMSAU.</t>
    </r>
  </si>
  <si>
    <t>a edificabilidade admitida para cada local (parcela ou conjunto de parcelas) nas disposições do Plano (quantitativas e qualitativas) e demais regulamentação aplicável</t>
  </si>
  <si>
    <t>Edificabilidade</t>
  </si>
  <si>
    <t>área de território delimitada física, jurídica ou topologicamente, não resultante de uma operação de loteamento, e que corresponde ao prédio ou conjunto de prédios objeto de uma operação urbanística;</t>
  </si>
  <si>
    <t>Parcela</t>
  </si>
  <si>
    <t>razão entre área de edificação, excluídas dos equipamentos de utilização coletiva a ceder ao domínio municipal, e a área da(s) parcela(s), ou a área do plano (categoria de espaço, unidade operativa de planeamento e gestão, plano de urbanização, plano de pormenor ou unidade de execução) a que se reporta;</t>
  </si>
  <si>
    <t>relação entre as várias funções instaladas e que se pretendem instalar no território de forma a garantir o acesso em condições de equidade aos serviços de proximidade e a evitar uma sobrecarga nas infraestruturas existentes e programadas;</t>
  </si>
  <si>
    <t>Equilíbrio funcional</t>
  </si>
  <si>
    <t>o quociente entre a área a ceder ao Município integrando as parcelas propostas no Plano e destinadas a zonas verdes públicas, equipamentos e eixos estruturantes e a área de edificação, excluindo a correspondente a equipamentos públicos;</t>
  </si>
  <si>
    <t>somatório da área de cada um dos pisos, expresso em metros quadrados (m2), de todos os edifícios que existem ou podem ser realizados na(s) parcela(s), com exclusão de:
i. Terraços descobertos, varandas, desde que não envidraçadas, e balcões abertos para o exterior;
ii. Espaços livres de uso público cobertos pelas edificações;
iii. Sótão sem pé-direito regulamentar para fins habitacionais;
iv. Arrecadações em cave afetas às diversas unidades de utilização do edifício;
v. Estacionamento instalado nas caves dos edifícios;
vi. Áreas técnicas acima ou abaixo do solo (posto de transformação, central térmica, compartimentos de recolha de lixo, casa das máquinas dos elevadores, depósitos de água e central de bombagem, entre outras).</t>
  </si>
  <si>
    <t>Área de edificação (também designada ae)</t>
  </si>
  <si>
    <t>Definição</t>
  </si>
  <si>
    <t>Termo</t>
  </si>
  <si>
    <t>Documento</t>
  </si>
  <si>
    <t>RJUE</t>
  </si>
  <si>
    <t>Obras de construção</t>
  </si>
  <si>
    <t>as obras de criação de novas edificações</t>
  </si>
  <si>
    <t>Obras de demolição</t>
  </si>
  <si>
    <t>as obras de destruição, total ou parcial, de uma edificação existente</t>
  </si>
  <si>
    <t>Operações de loteamento</t>
  </si>
  <si>
    <t>as ações que tenham por objeto ou por efeito a constituição de um ou mais lotes destinados, imediata ou subsequentemente, à edificação urbana e que resulte da divisão de um ou vários prédios ou do seu reparcelamento</t>
  </si>
  <si>
    <t>Operações urbanísticas</t>
  </si>
  <si>
    <t>as operações materiais de urbanização, de edificação, utilização dos edifícios ou do solo desde que, neste último caso, para fins não exclusivamente agrícolas, pecuários, florestais, mineiros ou de abastecimento público de água</t>
  </si>
  <si>
    <t>Trabalhos de remodelação dos terrenos</t>
  </si>
  <si>
    <t>as operações urbanísticas não compreendidas nas alíneas anteriores que impliquem a destruição do revestimento vegetal, a alteração do relevo natural e das camadas de solo arável ou o derrube de árvores de alto porte ou em maciço para fins não exclusivamente agrícolas, pecuários, florestais ou mineiros</t>
  </si>
  <si>
    <t>Unidades</t>
  </si>
  <si>
    <t>A+</t>
  </si>
  <si>
    <t>Cedência média (Cm)</t>
  </si>
  <si>
    <t>Índice de edificação (ie)</t>
  </si>
  <si>
    <t>Ver artigo 134º do PDM</t>
  </si>
  <si>
    <t>Ver artigo 135º do PDM</t>
  </si>
  <si>
    <r>
      <t xml:space="preserve">ae = </t>
    </r>
    <r>
      <rPr>
        <sz val="11"/>
        <color theme="1"/>
        <rFont val="Calibri"/>
        <family val="2"/>
      </rPr>
      <t>∑ A(piso)</t>
    </r>
    <r>
      <rPr>
        <vertAlign val="subscript"/>
        <sz val="11"/>
        <color theme="1"/>
        <rFont val="Calibri"/>
        <family val="2"/>
      </rPr>
      <t>n</t>
    </r>
  </si>
  <si>
    <t>ie = ae / a(parcela)</t>
  </si>
  <si>
    <t>a(parcela)</t>
  </si>
  <si>
    <t>Cm = ac / ae (exclui área a ceder correspondente a equipamentos públicos) = 0,4 m2 / m2ae</t>
  </si>
  <si>
    <t>Área de Blocos Isolados de Implantação Livre</t>
  </si>
  <si>
    <t>Área de Atividades Económicas de Tipo II</t>
  </si>
  <si>
    <t>Referências:</t>
  </si>
  <si>
    <t>B+</t>
  </si>
  <si>
    <t>B-</t>
  </si>
  <si>
    <t>Outro</t>
  </si>
  <si>
    <t>Classificação obtida</t>
  </si>
  <si>
    <t>Listas para respostas</t>
  </si>
  <si>
    <t>Sim</t>
  </si>
  <si>
    <t>Não</t>
  </si>
  <si>
    <t>Nº de exemplares introduzidos</t>
  </si>
  <si>
    <t>ID</t>
  </si>
  <si>
    <t>Espécie</t>
  </si>
  <si>
    <t>Total área de implantação</t>
  </si>
  <si>
    <t>% máxima</t>
  </si>
  <si>
    <t>Área de Frente Urbana Contínua de tipo I</t>
  </si>
  <si>
    <t xml:space="preserve">Índice de impermeabilização máximo, conforme PDM </t>
  </si>
  <si>
    <t>Área de Frente Urbana Contínua de tipo II</t>
  </si>
  <si>
    <t>Área de Edifícios de Tipo Moradia</t>
  </si>
  <si>
    <t>Área de Atividades Económicas de Tipo I</t>
  </si>
  <si>
    <t>Espaços Urbanos de Baixa Densidade</t>
  </si>
  <si>
    <t>Espaços de Uso Especial - Equipamentos</t>
  </si>
  <si>
    <t>Geral</t>
  </si>
  <si>
    <t>Dúvida</t>
  </si>
  <si>
    <t>Questão</t>
  </si>
  <si>
    <t>Condicionantes específicas como alínea h do nº1 do artigo 24º do PDM e alínea f) do nº1 do artigo 27º do PDM, p.ex.</t>
  </si>
  <si>
    <t>Estas excepções deverão ser analisadas caso a caso? Não conseguimos incluir todas as excepções na calculadora.</t>
  </si>
  <si>
    <t>Energia</t>
  </si>
  <si>
    <t>Livro de Obra</t>
  </si>
  <si>
    <t>RJUE + Portaria n.º 1268/2008</t>
  </si>
  <si>
    <t>Resíduos e economia circular</t>
  </si>
  <si>
    <t>Capítulo III - Materiais de construção aplicados na obra e identificação dos respectivos fabricantes
a) Identificação dos principais materiais e produtos de construção e de todos aqueles que estejam em contacto com os moradores, contendo:
i) A sua identificação;
ii) A indicação da sua função;
iii) O local da sua aplicação;
iv) O fabricante e a identificação deste, com o nome ou denominação, a morada da sede ou estabelecimento principal, o respectivo contacto e o número de identificação fiscal respectivo.
b) Identificação de todos os revestimentos do edifício, abrangendo os espaços comuns, e dos fogos ou fracções, incluindo os revestimentos de pavimentos, contendo:
i) A sua identificação e da sua natureza, nomeadamente, tipo de tinta, ladrilho, tipo de mármore ou outro revestimento pétreo, azulejo, espécie de madeira, ou quaisquer outros;
ii) A indicação das características ou funções especiais que detenham, nomeadamente impermeabilizantes, de isolamento térmico ou acústico ou outras;
iii) O local da sua aplicação, nomeadamente as paredes externas do edifício ou internas, os tectos, pavimentos, escadas, garagens, coberturas ou outros;
iv) O período de tempo previsível da sua duração, em condições normais, até que se revele necessária a sua substituição ou reparação; e v) O fabricante e a identificação deste, com o nome ou denominação, a morada da sede ou estabelecimento principal, o respectivo contacto e o número de identificação fiscal respectivo.</t>
  </si>
  <si>
    <t>Infraestrutura verde + Energia + Água</t>
  </si>
  <si>
    <t>Anexo II, Capítulo I, alínea d) Caracterização sumária das coberturas do edifício, contendo:
i) A indicação do tipo de cobertura, nomeadamente se a mesma consiste em terraço, cobertura inclinada ou outra configuração;
ii) A descrição sintética dos seus elementos constituintes, nomeadamente a sua estrutura de suporte, os revestimentos aplicados e o de isolamento térmico e respectiva espessura; e
iii) A descrição do sistema de drenagem de águas pluviais adoptado.</t>
  </si>
  <si>
    <t>Anexo I, coluna 3, alínea f) Demolições, alterações, reconstruções ou outras intervenções sobre o edificado, parciais ou totais, necessárias para assegurar a conformidade da obra com o projecto aprovado, com descrição das respectivas circunstâncias, modo de execução, local afectado e forma de impacte na edificação final;</t>
  </si>
  <si>
    <t>Aplicação em domínio</t>
  </si>
  <si>
    <t>Informação relevante</t>
  </si>
  <si>
    <t>Exigência</t>
  </si>
  <si>
    <t>Diploma</t>
  </si>
  <si>
    <t>DMU</t>
  </si>
  <si>
    <t>É exequível o pedido da BoM?</t>
  </si>
  <si>
    <t>4.1. + 4.2. + 4.3. + 4.4.</t>
  </si>
  <si>
    <t>Resíduos + EC</t>
  </si>
  <si>
    <t>DMU + AdEPorto + DMGA + AEdP</t>
  </si>
  <si>
    <t>Ver "ligação entre áreas"</t>
  </si>
  <si>
    <t>3.3. Cobertura permeável</t>
  </si>
  <si>
    <t>I. Azul</t>
  </si>
  <si>
    <t>2.6. Cobertura verde</t>
  </si>
  <si>
    <t>I. Verde</t>
  </si>
  <si>
    <t>DMGA</t>
  </si>
  <si>
    <t>Temos de decidir qual a idade das árvores que com a qual iremos calcular a área, ou estabelecemos um fator fixo? Estas áreas estão todas ligadas devido à conservação de espécies, introdução de árvores, introdução de arbustos, etc… cada um ocupando a sua área</t>
  </si>
  <si>
    <t>2.1. + 2.2. + 2.3. + 2.4. + 2.5.</t>
  </si>
  <si>
    <t>AdEPorto</t>
  </si>
  <si>
    <t>Qual o limite teórico para a % de energia Fontes Renováveis?</t>
  </si>
  <si>
    <t>1.2. energia Fontes Renováveis?</t>
  </si>
  <si>
    <t>Qual o máximo a partir do qual devemos dar pontuação total? Decidimos que fosse 0,5</t>
  </si>
  <si>
    <t>1.1. Nic / Ni</t>
  </si>
  <si>
    <t xml:space="preserve">Falamos em área para cobertura verde, área de cobertura para produção fotovoltaica e área de cobertura permeável (pode ser verde ou não). Qual deve ser a relação entre elas? Onde existe sobreposição? Qual o limite de área útil de uma cobertura? </t>
  </si>
  <si>
    <t>Ligação entre áreas</t>
  </si>
  <si>
    <t>Entidade a esclarecer</t>
  </si>
  <si>
    <t>Levantamento paisagístico prévio, é exequível?</t>
  </si>
  <si>
    <t>DMEVGI</t>
  </si>
  <si>
    <t>PARA OBRAS PÚBLICAS</t>
  </si>
  <si>
    <t xml:space="preserve">https://diariodarepublica.pt/dr/detalhe/portaria/255-2023-216770690 </t>
  </si>
  <si>
    <r>
      <t xml:space="preserve">Capítulo IV - Equipamentos instalados no edifício ou instalações de lazer e recreio e respectivos fabricantes, bem como condições de acesso a pessoas com mobilidade condicionada:
a) Identificação de todos os equipamentos, de uso comum, instalados no edifício ou destinados ao serviço dos espaços comuns e dos fogos ou fracções, nomeadamente ascensores, escadas mecânicas ou tapetes rolantes; </t>
    </r>
    <r>
      <rPr>
        <b/>
        <sz val="11"/>
        <color theme="1"/>
        <rFont val="Calibri"/>
        <family val="2"/>
        <scheme val="minor"/>
      </rPr>
      <t>sistemas de aquecimento, ventilação, ar condicionado</t>
    </r>
    <r>
      <rPr>
        <sz val="11"/>
        <color theme="1"/>
        <rFont val="Calibri"/>
        <family val="2"/>
        <scheme val="minor"/>
      </rPr>
      <t xml:space="preserve"> ou outros de controlo térmico de espaços; sistemas de ventilação ou extracção de fumos ou gases; sistemas de segurança contra intrusão; sistemas de detecção ou extinção de incêndios, bem como outros meios e medidas, activas e passivas, de segurança e protecção contra incêndio; </t>
    </r>
    <r>
      <rPr>
        <b/>
        <sz val="11"/>
        <color theme="1"/>
        <rFont val="Calibri"/>
        <family val="2"/>
        <scheme val="minor"/>
      </rPr>
      <t>painéis solares, sistemas fotovoltaicos ou outros sistemas de geração de energia ou calor; equipamentos de aproveitamento e microgeração de energia; termoacumuladores</t>
    </r>
    <r>
      <rPr>
        <sz val="11"/>
        <color theme="1"/>
        <rFont val="Calibri"/>
        <family val="2"/>
        <scheme val="minor"/>
      </rPr>
      <t>; e quaisquer outros, contendo:</t>
    </r>
  </si>
  <si>
    <t>1.3</t>
  </si>
  <si>
    <t>Como pedir o valor da inércia térmica (já que não consta visivel no CE)</t>
  </si>
  <si>
    <t>Majoração estratificação</t>
  </si>
  <si>
    <t>1.1. Aquecimento</t>
  </si>
  <si>
    <t>Porque só nos interessa a energia de aquecimento e não nos interessam as necessidades de energia primária? - surgiu da PassivHaus critera</t>
  </si>
  <si>
    <t>Relembra que, numa obra, caso não haja aumento de área construtiva, há isenção de taxas, logo, como atua o ÍA.Porto nestas áreas?</t>
  </si>
  <si>
    <t>4.3.</t>
  </si>
  <si>
    <t>LIPOR</t>
  </si>
  <si>
    <t>Necessitamos de ajuda para definir um Plano de Gestão de Resíduos: características, conteúdos, obrigações, responsabilidades</t>
  </si>
  <si>
    <t>I.A.</t>
  </si>
  <si>
    <t>Área de cobertura</t>
  </si>
  <si>
    <t>«Área de cobertura», a área, medida pelo interior, dos elementos opacos da envolvente horizontais ou com inclinação inferior a 60º que separam superiormente o espaço interior útil do exterior ou de espaços não úteis adjacentes;</t>
  </si>
  <si>
    <t>Sistema Certificação Energética dos Edifícios (SCE) - Decreto-Lei n.º 118/2013 - revogado</t>
  </si>
  <si>
    <t>Área permeável solo</t>
  </si>
  <si>
    <t>Área pavimentada</t>
  </si>
  <si>
    <t>é a diferença entre a área impermeável e a área pavimentada</t>
  </si>
  <si>
    <t>área da parcela externa ao edifício onde é colocado pavimento ou qualquer outro tipo de material, independente da sua permeabilidade.</t>
  </si>
  <si>
    <t>Definição de área de cobertura</t>
  </si>
  <si>
    <t>Área passível de produção fotovoltaica</t>
  </si>
  <si>
    <t>Percentagem da área útil de cobertura considerada apta para a instalação de painéis fotovoltaicos, calculada como o produto de área útil de cobertura por um fator de produção fotovoltaica, definido pela equipa I.A.</t>
  </si>
  <si>
    <t>Área coberta</t>
  </si>
  <si>
    <t>área da parcela que está debaixo de alguma estrutura construída e que impede a queda de chuva diretamente no solo, considerando uma queda vertical.</t>
  </si>
  <si>
    <t>Área passível de cobertura verde</t>
  </si>
  <si>
    <t>Cúpula</t>
  </si>
  <si>
    <t>NÃO</t>
  </si>
  <si>
    <t>Laje plana</t>
  </si>
  <si>
    <t>SIM</t>
  </si>
  <si>
    <t>Telhado</t>
  </si>
  <si>
    <t>Área ocupada pelos exemplares arbóreos conservados</t>
  </si>
  <si>
    <t xml:space="preserve">soma das áreas de projeção vertical da copa dos exemplares arbóreos conservados, calculada a partir do Perímetro à Altura do Peito (PAP) e usando a relação identificada por Coombes et al (Andrew Coombes, Jaime Martin, Duncan Slater, Defining the allometry of stem and crown diameter of urban trees, Urban Forestry &amp; Urban Greening, Volume 44, 2019, 126421, ISSN 1618-8667, https://doi.org/10.1016/j.ufug.2019.126421.) e as equações alométricas estabelecidas por McPherson et al (2016) (ver base de dados e artigo: https://www.researchgate.net/profile/Natalie-Van-Doorn/publication/311512105_Urban_tree_database_and_allometric_equations/links/5849bf1b08ae82313e710933/Urban-tree-database-and-allometric-equations.pdf) . </t>
  </si>
  <si>
    <t>INFORMAÇÃO PREPARATÓRIA - CARACTERÍSTICAS DO PROJETO</t>
  </si>
  <si>
    <t>Fase de Desenho</t>
  </si>
  <si>
    <t>área coberta na qual é possível colocar uma cobertura verde, podendo esta ser intensiva, extensiva ou semi-intensiva</t>
  </si>
  <si>
    <t>Fase Pós-Construção</t>
  </si>
  <si>
    <t xml:space="preserve">Nic </t>
  </si>
  <si>
    <t>necessidades nominais de energia útil para aquecimento</t>
  </si>
  <si>
    <t>Ni</t>
  </si>
  <si>
    <t>necessidades nominais de energia útil para aquecimento de referência</t>
  </si>
  <si>
    <t>Qa</t>
  </si>
  <si>
    <t>Eren</t>
  </si>
  <si>
    <t>contribuição de energia proveniente de fontes renováveis para as necessidades de AQS</t>
  </si>
  <si>
    <t>necessidades de água quente sanitária (AQS)</t>
  </si>
  <si>
    <t>It</t>
  </si>
  <si>
    <t>A inércia térmica (It) interior de uma fração, traduz a capacidade que essa fraçãop tem de reter o calor, por ação da capacidade de armazenamento e condução de calor de cada um dos elementos construtivos.</t>
  </si>
  <si>
    <t>Sistema de Certificação Energética - Guia SCE – Parâmetros de Cálculo</t>
  </si>
  <si>
    <t>Guia SCE – Indicadores de Desempenho Energético (REH)</t>
  </si>
  <si>
    <t>Área efetiva de produção fotovoltaica</t>
  </si>
  <si>
    <t>Área da cobertura com produção fotovoltaica efetiva, sendo verificada pela instalação dos painéis. Espaços de movimentação e manutenção entre os painéis são considerados neste cálculo, desde que optimizados.</t>
  </si>
  <si>
    <t>Verifica-se utilização de espécies de baixa necessidade hídrica?</t>
  </si>
  <si>
    <t>Verifica-se estratificação?</t>
  </si>
  <si>
    <t>Verifica-se contínuo verde?</t>
  </si>
  <si>
    <t>DESCRIÇÃO DO PROJETO</t>
  </si>
  <si>
    <t>Quercus suber</t>
  </si>
  <si>
    <t>RCD</t>
  </si>
  <si>
    <t>Regime Geral de Gestão de Resíduos</t>
  </si>
  <si>
    <t xml:space="preserve">Artigo 49.º
Responsabilidade pela gestão de resíduos de construção e demolição 
1 - A gestão dos RCD é da responsabilidade do produtor do resíduo, sem prejuízo da corresponsabilização de todos os intervenientes no ciclo de vida dos produtos na medida da respetiva intervenção no mesmo, nos termos do disposto no presente regime.
2 - Os produtores de RCD tomam as medidas necessárias para garantir a recolha seletiva dos resíduos na origem, de forma a promover a sua reciclagem e outras formas de valorização.
3 - Excetuam-se do disposto no n.º 1 os RCD resultantes de pequenas reparações e obras de bricolage em habitações pelo próprio proprietário ou arrendatário, cuja recolha, transporte e/ou receção cabe ao sistema municipal responsável pela recolha dos resíduos urbanos, o qual deve estabelecer procedimentos específicos para a recolha deste tipo de resíduos.
4 - Para efeitos do número anterior, os sistemas municipais devem estabelecer as condições de recolha, transporte e/ou receção dos RCD, bem como definir as tarifas aplicáveis.
5 - Os mecanismos de controlo de conclusão de obra e o plano de demolição seletiva nas obras sujeitas a controlo prévio, devem ser previstos nos regulamentos municipais de urbanização e edificação.
6 - A responsabilidade das entidades referidas nos números anteriores extingue-se pela entrega dos resíduos a operador de tratamento de resíduos.
7 - O dono de obra pode transmitir a sua responsabilidade de gestão para o empreiteiro por via contratual, devendo este evidenciar que os RCD tiveram destino adequado.
8 - As normas para a correta remoção dos materiais contendo amianto e para o acondicionamento dos RCD resultantes dessa remoção, para o seu transporte e gestão, são aprovadas por portaria dos membros do governo responsáveis pelas áreas do ambiente, da saúde, do trabalho e dos transportes.
9 - Os produtores e os operadores de gestão de RCD devem cumprir as disposições legais aplicáveis aos fluxos específicos de resíduos contidos nos RCD, designadamente os relativos aos resíduos de embalagens, de equipamentos elétricos e eletrónicos, óleos usados e pneus usados, bem como a legislação aplicável a resíduos contendo PCB, tal como definidos na alínea a) do artigo 2.º do Decreto-Lei n.º 277/99, de 23 de julho, na sua redação atual.
10 - No caso de demolição ou renovação de edifícios ou infraestruturas de obras públicas, os produtores de RCD promovem uma auditoria de pré-demolição. </t>
  </si>
  <si>
    <t>conceitos técnicos nos
domínios do ordenamento do território e do urbanismo - Decreto Regulamentar n.º 5/2019</t>
  </si>
  <si>
    <t>ÍNDICE DE IMPERMEABILIZAÇÃO DO SOLO</t>
  </si>
  <si>
    <t>Índice de impermeabilização do solo (Iimp) é função da ocupação ou revestimento, sendo calculado pelo quociente entre o somatório das áreas impermeabilizadas equivalentes (SOMA(Aimp)) e a área de solo (As) a que o índice diz respeito, expresso em percentagem.
Iimp = (SOMA(Aimp) / As) x 100
Cada área impermeabilizada equivalente (Aimp) é calculada pelo produto entre a área de solo (As) a que diz respeito e o coeficiente de impermeabilização (Cimp) que corresponde ao tipo de ocupação ou revestimento que nela é realizado ou previsto.
Aimp = Cimp x As
O índice de impermeabilização do solo mede apenas a alteração da permeabilidade que resulta da ocupação ou do revestimento realizado ou previsto, sendo independente da permeabilidade do solo original, antes dessa ocupação ou revestimento.
A aplicação deste índice a cada caso concreto exige:
• A prévia identificação e delimitação de subáreas, a que corresponde um tipo de ocupação ou revestimento específico;
• O estabelecimento dos coeficientes de impermeabilização que correspondem ao tipo de ocupação ou revestimento de cada subárea.
A área impermeabilizada equivalente exprime o peso relativo de cada subárea na área total de solo a que o índice de impermeabilização diz respeito.
O valor do coeficiente de impermeabilização varia entre 0 (zero) e 1 (um).
Na falta de melhor informação o valor dos coeficientes de impermeabilização da ocupação ou do revestimento em presença poderão utilizar-se os seguintes valores de referência:
• Solo ocupado com construções ou com revestimento impermeável Cimp = 1
• Solo com revestimento semipermeável Cimp = 0,5
• Solo plantado ou solo natural sem qualquer revestimento Cimp = 0</t>
  </si>
  <si>
    <t>área de território delimitada física, jurídica ou topologicamente, não resultante de uma operação de loteamento, e que corresponde ao prédio ou conjunto de prédios objeto de uma operação urbanística.</t>
  </si>
  <si>
    <t>Área de implantação</t>
  </si>
  <si>
    <t>A área de implantação (Ai) de um edifício é a área de solo ocupada pelo edifício. Corresponde à área do solo contido no interior de um polígono fechado que compreende:
- O perímetro exterior do contacto do edifício com o solo;
- O perímetro exterior das paredes exteriores dos pisos em cave.
Notas complementares
No caso muito particular dos edifícios que se desenvolvem “em ponte” sobre via pública, à área de implantação, calculada nos termos da definição, é retirada a área de via pública contida no interior do polígono.
A área de implantação é expressa em metros quadrados.</t>
  </si>
  <si>
    <t>Área de construção coberta</t>
  </si>
  <si>
    <t>I.A. + Dregulamentar nº 5/2019</t>
  </si>
  <si>
    <t>A área de construção do piso à cota da soleira medida pelo perímetro exterior das paredes exteriores e inclui os espaços de circulação cobertos (átrios, galerias, corredores, caixas de escada e caixas de elevador) e os espaços exteriores cobertos (alpendres, telheiros, varandas e terraços cobertos).</t>
  </si>
  <si>
    <t>Área arborizada (m2)</t>
  </si>
  <si>
    <t>Impacto do Simplex na documentação e nos processos.</t>
  </si>
  <si>
    <t>DMGU</t>
  </si>
  <si>
    <t>Quais os impactos do Simplex nos pedidos de documentação? E no processo de licenciamento? Quando se aplica e quando não? O Município pode de alguma forma intervir numa fase prévia?</t>
  </si>
  <si>
    <t>É válida a abordagem de estorno das taxas? Qual seria uma alternativa, ou como se deveria processar?</t>
  </si>
  <si>
    <t>Em termos de majoração, como vêem a assinatura de um contrato de compromisso? É prática comum?</t>
  </si>
  <si>
    <t>Como vêem o procedimento proposto pelo I.A.?</t>
  </si>
  <si>
    <t>Via verde administrativa - Pode o I.A. Dar visibilidade ao tratamento dos processos de licenciamento?</t>
  </si>
  <si>
    <t>Regulamento Específico para Reabilitação
Obras de alteração | Obras de reconstrução | Obras de ampliação | Obras de construção integram Obras de edificação</t>
  </si>
  <si>
    <t>TMI aplica-se a obras de ampliação quando ampliação acima de 150m2 + obras de construção acima de 150m2
TMI = Compensação da Edificabilidade + Cedência</t>
  </si>
  <si>
    <t>I.A. Apenas se aplica à TMI - ou seja, construção e ampliação com questão dos 150m2</t>
  </si>
  <si>
    <t>Taxas administrativas = Processo + Taxas</t>
  </si>
  <si>
    <t>Simplex Urbanístico - 71-A - documentos obrigatórios</t>
  </si>
  <si>
    <t>R.E.URB. - Regulamento Excepcional de Reabilitação Urbana</t>
  </si>
  <si>
    <t xml:space="preserve">Obrigatório do promotor - informação de início dos trabalhos à DMCPI
DMCPI marca vistoria e avalia alvará e início de obras - fiscal é identificado 
1 - Pedido de reembolso à Receita
2 - Receita solicita auditoria técnica I.A.
3 - Equipa I.A. Organiza vistoria
4 - </t>
  </si>
  <si>
    <t>Procedimento de águas é independente
DMGU recebe um projeto de especialidade e um comprovativo de aval das Águas - não há contacto entre Águas e CMP</t>
  </si>
  <si>
    <t>Verificar Portal para comunicação com promotores</t>
  </si>
  <si>
    <t>Preparar apresentação formal para DMGPU</t>
  </si>
  <si>
    <t>I.A. Ser divulgado pela newsletter da DMGPU</t>
  </si>
  <si>
    <t>Licença de utilização é dependente de um papel de que a obra está conforme o projeto - Pode ser revogada caso I.A. Não tenha sido cumprido - entra pelo reembolso</t>
  </si>
  <si>
    <t>Regulamento deve seguir modelo RJUE:
1 - Obra;
2 - vistoria;
3 - alvará</t>
  </si>
  <si>
    <t>DMGPU enquadra decisão do Vereador Urbanismo no artigo 145º do PDM mas não se veicula a um valor concreto do I.A.
Isto obriga ao promotor a obter pelo menos a classificação mínima, não sendo obrigatório obter o valor com o qual se comprometeu.</t>
  </si>
  <si>
    <t>Majoração de edificabilidade
Vereador assina alvará de obra sob a condição de valor de I.A. Ou medidas concretas.</t>
  </si>
  <si>
    <t>Procedimento CMP - desde que haja comunicação da obra, há sempre alguém da CMP que acompanha a obra - DMCPI - Divisão Municipal de Comunicações Prévias e Inspeções + Divisão Municipal de Fiscalização de Obras Particulares - Departamento de Fiscalização
R.E.URB - é muito similar, usar como exemplo para I.A.
Comunicação à Receita de que o processo cumpre com requisitos para estorno de taxas</t>
  </si>
  <si>
    <t>Regulamento do I.A. Prever que a vistoria deve ser prévia à licença de habitabilidade! Relatório da vistoria já poderá integrar o pedido de Reembolso à DMR.</t>
  </si>
  <si>
    <t>Terraway - serve como permeável?</t>
  </si>
  <si>
    <t>Carta de Qualificação do Solo do PDM - 3.1 Quadro Sinótico</t>
  </si>
  <si>
    <t>Área total do terreno [a(parcela)] (m2) - 2.1 Quadro Sinótico</t>
  </si>
  <si>
    <t>Variável</t>
  </si>
  <si>
    <t>Nome</t>
  </si>
  <si>
    <t>Real (Nic)</t>
  </si>
  <si>
    <t>kWh/(m2.ano)</t>
  </si>
  <si>
    <t>Nic</t>
  </si>
  <si>
    <t>Referência (Ni)</t>
  </si>
  <si>
    <t>m2</t>
  </si>
  <si>
    <t>Índice de impermeabilização</t>
  </si>
  <si>
    <t>Iimp</t>
  </si>
  <si>
    <t>Carta de Qualificação do Solo do PDM</t>
  </si>
  <si>
    <t>Caracterização da operação urbanística</t>
  </si>
  <si>
    <t>Área potencial de conservação</t>
  </si>
  <si>
    <t>2.2. Introdução de exemplares arbóreos</t>
  </si>
  <si>
    <t>-</t>
  </si>
  <si>
    <t>Área verde biodiversa</t>
  </si>
  <si>
    <t>Área arborizada</t>
  </si>
  <si>
    <t>Verde</t>
  </si>
  <si>
    <t>Água</t>
  </si>
  <si>
    <t>y2</t>
  </si>
  <si>
    <t>y1</t>
  </si>
  <si>
    <t>x2</t>
  </si>
  <si>
    <t>x1</t>
  </si>
  <si>
    <t>m</t>
  </si>
  <si>
    <t>b</t>
  </si>
  <si>
    <t>x</t>
  </si>
  <si>
    <t>y</t>
  </si>
  <si>
    <t>kg</t>
  </si>
  <si>
    <t>Recursos</t>
  </si>
  <si>
    <t>m3</t>
  </si>
  <si>
    <t>Área verde biodiversa (m2)</t>
  </si>
  <si>
    <t>Uso do(s) edifício(s)</t>
  </si>
  <si>
    <t>Comércio e Serviços</t>
  </si>
  <si>
    <t>Indústria</t>
  </si>
  <si>
    <t>% de energia renovável</t>
  </si>
  <si>
    <t>IEEs,ref</t>
  </si>
  <si>
    <t>IEEfossil,s</t>
  </si>
  <si>
    <t>RenHab</t>
  </si>
  <si>
    <t>Relação entre a energia primária total renovável para autoconsumo nos usos regulados do edifício e a energia primária total para o uso de AQS</t>
  </si>
  <si>
    <t>% renovável</t>
  </si>
  <si>
    <t>Contributo de energia renovável no consumo de energia do edifício</t>
  </si>
  <si>
    <t>% energia renovável no consumo de energia do edifício</t>
  </si>
  <si>
    <t>RNT</t>
  </si>
  <si>
    <t>Rácio de classe energética</t>
  </si>
  <si>
    <t>Relação entre as necessidades nominais de energia primária previstas e de referência</t>
  </si>
  <si>
    <t>RIEE</t>
  </si>
  <si>
    <t>2.1. Conservação de exemplares arbóreos</t>
  </si>
  <si>
    <t>2.4. Área de coberturas verdes</t>
  </si>
  <si>
    <t>3.1. Aumento da área permeável</t>
  </si>
  <si>
    <t>3.2.Sistema de drenagem de águas pluviais sustentável</t>
  </si>
  <si>
    <t>3.3. Classificação AQUA+</t>
  </si>
  <si>
    <t>Nome científico</t>
  </si>
  <si>
    <t>Nome comum</t>
  </si>
  <si>
    <t>Género</t>
  </si>
  <si>
    <t>Família</t>
  </si>
  <si>
    <t>Origem (Autóctone/Alóctone)</t>
  </si>
  <si>
    <t>Estatuto de Invasora</t>
  </si>
  <si>
    <t>Sazonalidade (Caduca/Persistente)</t>
  </si>
  <si>
    <t>Crescimento (Rápido, Médio e Lento)</t>
  </si>
  <si>
    <t>Porte (Pequeno, Médio e Grande)</t>
  </si>
  <si>
    <t>Forma da copa</t>
  </si>
  <si>
    <t>Largura de copa (metros)</t>
  </si>
  <si>
    <t>Altura média (metros)</t>
  </si>
  <si>
    <t>Largura de copa potencial em caldeira (-20% da largura de copa)</t>
  </si>
  <si>
    <t>Classes de largura potencial em caldeira (até 4m; 4 a 6m; 6 a 8m; mais de 8m)</t>
  </si>
  <si>
    <t>Classes de Altura (até 5m; entre 5 e 10m; entre 10 e 12m; mais de 12m)</t>
  </si>
  <si>
    <t>Sistema radicular</t>
  </si>
  <si>
    <t>Resiliência em ambiente urbano (baixa e alta)</t>
  </si>
  <si>
    <t>Proximidade ao mar (1ªLinha, 2ªLinha e não tolera salinidade)</t>
  </si>
  <si>
    <t>Tolerância ao vento (baixa, média, alta)</t>
  </si>
  <si>
    <t>Exposição solar</t>
  </si>
  <si>
    <t>Poda e topiária</t>
  </si>
  <si>
    <t>Tolerância ao pavimento em situação de caldeira (baixa, média e alta)</t>
  </si>
  <si>
    <t>Conflitos potenciais com o espaço público (fruto carnudo ou de polpa, sistema radicular, etc)</t>
  </si>
  <si>
    <t>Abies nordmanniana</t>
  </si>
  <si>
    <t>Abeto-do-Cáucaso</t>
  </si>
  <si>
    <t>Abies</t>
  </si>
  <si>
    <t>PINACEAE</t>
  </si>
  <si>
    <t>Alóctone</t>
  </si>
  <si>
    <t>Perene</t>
  </si>
  <si>
    <t>Médio</t>
  </si>
  <si>
    <t>Grande</t>
  </si>
  <si>
    <t>Piramidal</t>
  </si>
  <si>
    <t>6-8m</t>
  </si>
  <si>
    <t>20-40m</t>
  </si>
  <si>
    <t>5-6m</t>
  </si>
  <si>
    <t>entre 4 e 8m</t>
  </si>
  <si>
    <t>mais de 12m</t>
  </si>
  <si>
    <t>pivotante</t>
  </si>
  <si>
    <t>Alta</t>
  </si>
  <si>
    <t>não tolera salinidade</t>
  </si>
  <si>
    <t>Meia-sombra</t>
  </si>
  <si>
    <t>não suporta poda</t>
  </si>
  <si>
    <t>Baixa</t>
  </si>
  <si>
    <t>s/inf.</t>
  </si>
  <si>
    <t>n/a.</t>
  </si>
  <si>
    <t>FABACEAE</t>
  </si>
  <si>
    <t>Rápido</t>
  </si>
  <si>
    <t>Pequeno</t>
  </si>
  <si>
    <t>Ovoidal</t>
  </si>
  <si>
    <t>4-6m</t>
  </si>
  <si>
    <t>3-5m</t>
  </si>
  <si>
    <t>até 5m</t>
  </si>
  <si>
    <t>fasciculado</t>
  </si>
  <si>
    <t>2ªLinha</t>
  </si>
  <si>
    <t>Sol pleno</t>
  </si>
  <si>
    <t>suporta poda</t>
  </si>
  <si>
    <t>Irregular</t>
  </si>
  <si>
    <t xml:space="preserve">fasciculado </t>
  </si>
  <si>
    <t>Espinhos</t>
  </si>
  <si>
    <t>Acer campestre</t>
  </si>
  <si>
    <t>Bordo-comum</t>
  </si>
  <si>
    <t>Acer</t>
  </si>
  <si>
    <t>SAPINDACEAE</t>
  </si>
  <si>
    <t>Caduca</t>
  </si>
  <si>
    <t>Esférica</t>
  </si>
  <si>
    <t>8-12m</t>
  </si>
  <si>
    <t>entre 10 e 12m</t>
  </si>
  <si>
    <t>Sol pleno/meia-sombra</t>
  </si>
  <si>
    <t>suporta poda e topiária</t>
  </si>
  <si>
    <t>Média</t>
  </si>
  <si>
    <t>Acer heldreichii</t>
  </si>
  <si>
    <t>5-8m</t>
  </si>
  <si>
    <t>12-15m</t>
  </si>
  <si>
    <t>4-7m</t>
  </si>
  <si>
    <t>Acer hyrcanum</t>
  </si>
  <si>
    <t>Bordo-de-Montpellier</t>
  </si>
  <si>
    <t>10m</t>
  </si>
  <si>
    <t>8m</t>
  </si>
  <si>
    <t>Bordo-negundo</t>
  </si>
  <si>
    <t>Acer negundo var. variegatum</t>
  </si>
  <si>
    <t>2-4m</t>
  </si>
  <si>
    <t>Acer palmatum</t>
  </si>
  <si>
    <t>Ácer-do-Japão</t>
  </si>
  <si>
    <t>Semiovoidal</t>
  </si>
  <si>
    <t>2-3m</t>
  </si>
  <si>
    <t>3-6m</t>
  </si>
  <si>
    <t>até 4m</t>
  </si>
  <si>
    <t>Sombra suave/meia-sombra</t>
  </si>
  <si>
    <t>Acer platanoides</t>
  </si>
  <si>
    <t>Bordo-da-Noruega</t>
  </si>
  <si>
    <t>8-10m</t>
  </si>
  <si>
    <t>15-25m</t>
  </si>
  <si>
    <t>Acer platanoides var. crimson king</t>
  </si>
  <si>
    <t>10-15m</t>
  </si>
  <si>
    <t>Acer platanoides var. deborah</t>
  </si>
  <si>
    <t>Acer pseudoplatanus</t>
  </si>
  <si>
    <t>Bordo</t>
  </si>
  <si>
    <t>Autóctone</t>
  </si>
  <si>
    <t>20-25m</t>
  </si>
  <si>
    <t>Acer pseudoplatanus var. atropurpureum</t>
  </si>
  <si>
    <t>Bordo-púrpura</t>
  </si>
  <si>
    <t>Acer rubrum</t>
  </si>
  <si>
    <t>Bordo-vermelho</t>
  </si>
  <si>
    <t>Piramidal/esférica</t>
  </si>
  <si>
    <t>15-20m</t>
  </si>
  <si>
    <t>8-13m</t>
  </si>
  <si>
    <t>mais de 8m</t>
  </si>
  <si>
    <t>pivotante/horizontal</t>
  </si>
  <si>
    <t>Acer saccharum</t>
  </si>
  <si>
    <t>Bordo-açucareiro</t>
  </si>
  <si>
    <t>10-14m</t>
  </si>
  <si>
    <t>Aesculus hippocastanum</t>
  </si>
  <si>
    <t>Castanheiro-da-Índia</t>
  </si>
  <si>
    <t>Aesculus</t>
  </si>
  <si>
    <t>ovoidal</t>
  </si>
  <si>
    <t>20-30m</t>
  </si>
  <si>
    <t>6-10m</t>
  </si>
  <si>
    <t>fruto espinhoso; alergias</t>
  </si>
  <si>
    <t>Aesculus x carnea</t>
  </si>
  <si>
    <t>Castanheiro-das-flores-vermelhas</t>
  </si>
  <si>
    <t>4-8m</t>
  </si>
  <si>
    <t>fruto espinhoso</t>
  </si>
  <si>
    <t>entre 5 e 10m</t>
  </si>
  <si>
    <t>Alnus glutinosa</t>
  </si>
  <si>
    <t>Amieiro</t>
  </si>
  <si>
    <t>Alnus</t>
  </si>
  <si>
    <t>BETULACEAE</t>
  </si>
  <si>
    <t>Piramidal/Semiovoidal</t>
  </si>
  <si>
    <t>horizontal</t>
  </si>
  <si>
    <t>Alergias</t>
  </si>
  <si>
    <t>Araucaria heterophylla</t>
  </si>
  <si>
    <t>Araucária-de-Norfolk</t>
  </si>
  <si>
    <t>Araucaria</t>
  </si>
  <si>
    <t>ARAUCARIACEAE</t>
  </si>
  <si>
    <t>1ªLinha</t>
  </si>
  <si>
    <t>Arbutus unedo</t>
  </si>
  <si>
    <t>Medronheiro</t>
  </si>
  <si>
    <t>Arbutus</t>
  </si>
  <si>
    <t>ERICACEAE</t>
  </si>
  <si>
    <t>3-8m</t>
  </si>
  <si>
    <t>Fruto carnudo</t>
  </si>
  <si>
    <t>Banksia serrata</t>
  </si>
  <si>
    <t>Cigarrilha</t>
  </si>
  <si>
    <t>Banksia</t>
  </si>
  <si>
    <t>PROTEACEAE</t>
  </si>
  <si>
    <t>2-8m</t>
  </si>
  <si>
    <t>10-12m</t>
  </si>
  <si>
    <t>2-6m</t>
  </si>
  <si>
    <t>Betula ermanii</t>
  </si>
  <si>
    <t>Bétula-dourada</t>
  </si>
  <si>
    <t>Betula</t>
  </si>
  <si>
    <t>Esférica/ovoidal</t>
  </si>
  <si>
    <t>fasciculado/horizontal</t>
  </si>
  <si>
    <t>Betula nigra</t>
  </si>
  <si>
    <t>Bétula-negra</t>
  </si>
  <si>
    <t>12-20m</t>
  </si>
  <si>
    <t>Betula papyrifera</t>
  </si>
  <si>
    <t>Ovoidal/pendular</t>
  </si>
  <si>
    <t>Betula pendula</t>
  </si>
  <si>
    <t>Vidoeiro-branco</t>
  </si>
  <si>
    <t>Pendular</t>
  </si>
  <si>
    <t>12-18m</t>
  </si>
  <si>
    <t>Betula pubescens</t>
  </si>
  <si>
    <t>Vidoeiro</t>
  </si>
  <si>
    <t>Brachychiton populneus</t>
  </si>
  <si>
    <t>Braquiquito</t>
  </si>
  <si>
    <t>Brachychiton</t>
  </si>
  <si>
    <t>MALVACEAE</t>
  </si>
  <si>
    <t>piramidal</t>
  </si>
  <si>
    <t>Buxus sempervirens</t>
  </si>
  <si>
    <t>Buxo</t>
  </si>
  <si>
    <t>Buxus</t>
  </si>
  <si>
    <t>BUXACEAE</t>
  </si>
  <si>
    <t>Alergias (de contacto)</t>
  </si>
  <si>
    <t>Callistemon viminalis</t>
  </si>
  <si>
    <t>Limpa-garrafas</t>
  </si>
  <si>
    <t>Callistemon</t>
  </si>
  <si>
    <t>MYRTACEAE</t>
  </si>
  <si>
    <t>1,5-4m</t>
  </si>
  <si>
    <t>2-10m</t>
  </si>
  <si>
    <t>Camellia japonica</t>
  </si>
  <si>
    <t>Camélia</t>
  </si>
  <si>
    <t>Camellia</t>
  </si>
  <si>
    <t>THEACEAE</t>
  </si>
  <si>
    <t>1-3m</t>
  </si>
  <si>
    <t>6m</t>
  </si>
  <si>
    <t>Camellia reticulata</t>
  </si>
  <si>
    <t>5m</t>
  </si>
  <si>
    <t>4m</t>
  </si>
  <si>
    <t>Carpinus betulus</t>
  </si>
  <si>
    <t>Carpa-europeia</t>
  </si>
  <si>
    <t>Carpinus</t>
  </si>
  <si>
    <t>FAGACEAE</t>
  </si>
  <si>
    <t>10-20m</t>
  </si>
  <si>
    <t>Castanea sativa</t>
  </si>
  <si>
    <t>Castanheiro</t>
  </si>
  <si>
    <t>Castanea</t>
  </si>
  <si>
    <t>Arqueófito</t>
  </si>
  <si>
    <t>Esférica/irregular</t>
  </si>
  <si>
    <t>12-16m</t>
  </si>
  <si>
    <t>Fruto espinhoso</t>
  </si>
  <si>
    <t>Casuarina equisetifolia</t>
  </si>
  <si>
    <t>Casuarina</t>
  </si>
  <si>
    <t>CASUARINACEAE</t>
  </si>
  <si>
    <t>Catalpa bignonioides</t>
  </si>
  <si>
    <t>Árvore-das-trombetas</t>
  </si>
  <si>
    <t>Catalpa</t>
  </si>
  <si>
    <t>BIGNONIACEAE</t>
  </si>
  <si>
    <t>5-7m</t>
  </si>
  <si>
    <t>Cedrus atantica var. glauca</t>
  </si>
  <si>
    <t>Cedro-do-Atlas</t>
  </si>
  <si>
    <t>Cedrus</t>
  </si>
  <si>
    <t>Lento</t>
  </si>
  <si>
    <t>Piramidal/pendular</t>
  </si>
  <si>
    <t>8-20m</t>
  </si>
  <si>
    <t>15-30m</t>
  </si>
  <si>
    <t>6-16m</t>
  </si>
  <si>
    <t>Cedrus atlantica</t>
  </si>
  <si>
    <t>Cedrus deodara</t>
  </si>
  <si>
    <t>Cedro-dos-Himalaias</t>
  </si>
  <si>
    <t>Cedrus libani</t>
  </si>
  <si>
    <t>Cedro-do-Líbano</t>
  </si>
  <si>
    <t>12-24m</t>
  </si>
  <si>
    <t>25-40m</t>
  </si>
  <si>
    <t>10-19m</t>
  </si>
  <si>
    <t>Celtis australis</t>
  </si>
  <si>
    <t>Lódão</t>
  </si>
  <si>
    <t>Celtis</t>
  </si>
  <si>
    <t>CELTIDACEAE</t>
  </si>
  <si>
    <t>Cercis siliquastrum</t>
  </si>
  <si>
    <t>Olaia</t>
  </si>
  <si>
    <t>Cercis</t>
  </si>
  <si>
    <t>3-4m</t>
  </si>
  <si>
    <t>Chamaecyparis lawsoniana</t>
  </si>
  <si>
    <t>Cedro-branco</t>
  </si>
  <si>
    <t>Chamaecyparis</t>
  </si>
  <si>
    <t>CUPRESSACEAE</t>
  </si>
  <si>
    <t>Piramidal/colunar</t>
  </si>
  <si>
    <t>Chamaecyparis lawsoniana var. alumi</t>
  </si>
  <si>
    <t>5-10m</t>
  </si>
  <si>
    <t>Meia-sombra/sombra</t>
  </si>
  <si>
    <t>Chamaecyparis lawsoniana var. elwoodii</t>
  </si>
  <si>
    <t>Chamaecyparis lawsoniana var. erecta viridis</t>
  </si>
  <si>
    <t>Chamaecyparis lawsoniana var. golden wonder</t>
  </si>
  <si>
    <t>Chamaecyparis lawsoniana var. lutea</t>
  </si>
  <si>
    <t>Chamaecyparis lawsoniana var. stardust</t>
  </si>
  <si>
    <t>Chamaecyparis lawsoniana var. stewertii</t>
  </si>
  <si>
    <t>Cupressus nootkatensis</t>
  </si>
  <si>
    <t>Cipreste-do-Alasca</t>
  </si>
  <si>
    <t>Cupressus</t>
  </si>
  <si>
    <t>Chamaecyparis obtusa var. Crippsii</t>
  </si>
  <si>
    <t>Cipreste-japonês</t>
  </si>
  <si>
    <t>Chamaecyparis pisifera</t>
  </si>
  <si>
    <t>Cipreste-azul</t>
  </si>
  <si>
    <t>3-7m</t>
  </si>
  <si>
    <t>Ceiba speciosa</t>
  </si>
  <si>
    <t>Paineira</t>
  </si>
  <si>
    <t>Ceiba</t>
  </si>
  <si>
    <t>Cinnamomum camphora</t>
  </si>
  <si>
    <t>Canforeira</t>
  </si>
  <si>
    <t>Cinnamomum</t>
  </si>
  <si>
    <t>LAURACEAE</t>
  </si>
  <si>
    <t xml:space="preserve">Ovoidal  </t>
  </si>
  <si>
    <t>8-15m</t>
  </si>
  <si>
    <t>Citrus aurantium</t>
  </si>
  <si>
    <t>Laranjeira-azeda</t>
  </si>
  <si>
    <t>Citrus</t>
  </si>
  <si>
    <t>RUTACEAE</t>
  </si>
  <si>
    <t>Citrus limon</t>
  </si>
  <si>
    <t>Limoeiro</t>
  </si>
  <si>
    <t>Citrus reticulada var. blanco</t>
  </si>
  <si>
    <t>Tangerineira</t>
  </si>
  <si>
    <t>Citrus x sinensis</t>
  </si>
  <si>
    <t>Laranjeira-doce</t>
  </si>
  <si>
    <t>Cordyline australis</t>
  </si>
  <si>
    <t>Fiteira</t>
  </si>
  <si>
    <t>Cordyline</t>
  </si>
  <si>
    <t>ASPARAGACEAE</t>
  </si>
  <si>
    <t>Cornus florida</t>
  </si>
  <si>
    <t>Cornus</t>
  </si>
  <si>
    <t>CORNACEAE</t>
  </si>
  <si>
    <t>Corylus avellana</t>
  </si>
  <si>
    <t>Aveleira</t>
  </si>
  <si>
    <t>Corylus</t>
  </si>
  <si>
    <t>ROSACEAE</t>
  </si>
  <si>
    <t>Crataegus monogyna</t>
  </si>
  <si>
    <t>Pilriteiro</t>
  </si>
  <si>
    <t>Crataegus</t>
  </si>
  <si>
    <t>Cryptomeria japonica</t>
  </si>
  <si>
    <t>Cedro-japonês</t>
  </si>
  <si>
    <t>Cryptomeria</t>
  </si>
  <si>
    <t>Colunar</t>
  </si>
  <si>
    <t>1-2m</t>
  </si>
  <si>
    <t>Cupressus arizonica</t>
  </si>
  <si>
    <t>Cipreste-do-Arizona</t>
  </si>
  <si>
    <t>4-5m</t>
  </si>
  <si>
    <t>Cupressus lusitanica</t>
  </si>
  <si>
    <t>Cedro-do-Buçaco</t>
  </si>
  <si>
    <t>25-30m</t>
  </si>
  <si>
    <t>Cupressus macrocarpa</t>
  </si>
  <si>
    <t>Cipreste-da-Califórnia</t>
  </si>
  <si>
    <t>Cupressus sempervirens</t>
  </si>
  <si>
    <t>Cipreste</t>
  </si>
  <si>
    <t>10-25m</t>
  </si>
  <si>
    <t>Diospyros kaki</t>
  </si>
  <si>
    <t>Diospireiro</t>
  </si>
  <si>
    <t>Diospyros</t>
  </si>
  <si>
    <t>EBENACEAE</t>
  </si>
  <si>
    <t>Elíptica</t>
  </si>
  <si>
    <t>fruto carnudo</t>
  </si>
  <si>
    <t>Dracaena draco</t>
  </si>
  <si>
    <t>Dragoeiro</t>
  </si>
  <si>
    <t>Dracaena</t>
  </si>
  <si>
    <t>12-25m</t>
  </si>
  <si>
    <t>Elaeagnus angustifolia</t>
  </si>
  <si>
    <t>Árvore-do-paraíso</t>
  </si>
  <si>
    <t>Elaeagnus</t>
  </si>
  <si>
    <t>ELAEAGNACEAE</t>
  </si>
  <si>
    <t>Eriobotrya japonica</t>
  </si>
  <si>
    <t>Nespereira</t>
  </si>
  <si>
    <t>Eriobotrya</t>
  </si>
  <si>
    <t>2-5m</t>
  </si>
  <si>
    <t>Erythrina crista-galli</t>
  </si>
  <si>
    <t>Bico-de-papagaio</t>
  </si>
  <si>
    <t>Erytrina</t>
  </si>
  <si>
    <t>Corymbia ficifolia</t>
  </si>
  <si>
    <t>Eucalipto-de-flor-vermelha</t>
  </si>
  <si>
    <t>Corymbia</t>
  </si>
  <si>
    <t xml:space="preserve">Sol pleno </t>
  </si>
  <si>
    <t>Eucalyptus</t>
  </si>
  <si>
    <t>30-40m</t>
  </si>
  <si>
    <t>Eucalyptus gunni</t>
  </si>
  <si>
    <t>Eucalipto-de-Gunn</t>
  </si>
  <si>
    <t>pivotante/fasciculado</t>
  </si>
  <si>
    <t>Euonymus japonicus var. aureomarginatus</t>
  </si>
  <si>
    <t>Evónimo-do-Japão</t>
  </si>
  <si>
    <t>Euonymus</t>
  </si>
  <si>
    <t>CELESTRACEAE</t>
  </si>
  <si>
    <t>2m</t>
  </si>
  <si>
    <t>Fagus sylvatica</t>
  </si>
  <si>
    <t>Faia</t>
  </si>
  <si>
    <t>Fagus</t>
  </si>
  <si>
    <t>8-9m</t>
  </si>
  <si>
    <t>Fagus sylvatica var. pendula</t>
  </si>
  <si>
    <t>Semiovoidal/pendular</t>
  </si>
  <si>
    <t>Fagus sylvatica var. purpurea</t>
  </si>
  <si>
    <t>Ficus benjamina</t>
  </si>
  <si>
    <t>Ficus</t>
  </si>
  <si>
    <t>MORACEAE</t>
  </si>
  <si>
    <t>18-20m</t>
  </si>
  <si>
    <t>20m</t>
  </si>
  <si>
    <t>14-16m</t>
  </si>
  <si>
    <t>Aérea</t>
  </si>
  <si>
    <t>Ficus carica</t>
  </si>
  <si>
    <t>Figueira</t>
  </si>
  <si>
    <t>Apófito</t>
  </si>
  <si>
    <t>Ficus elastica</t>
  </si>
  <si>
    <t>Árvore-da-borracha</t>
  </si>
  <si>
    <t>30m</t>
  </si>
  <si>
    <t>Látex</t>
  </si>
  <si>
    <t>Fraxinus americana var. autumn purple</t>
  </si>
  <si>
    <t>Fraxinus</t>
  </si>
  <si>
    <t>OLEACEAE</t>
  </si>
  <si>
    <t>Piramidal/ovoidal</t>
  </si>
  <si>
    <t>Fraxinus angustifolia</t>
  </si>
  <si>
    <t>Freixo-de-folha-estreita</t>
  </si>
  <si>
    <t>Fraxinus excelsior</t>
  </si>
  <si>
    <t>Freixo-europeu</t>
  </si>
  <si>
    <t>Fraxinus ornus</t>
  </si>
  <si>
    <t>Freixo-de-folha-redonda</t>
  </si>
  <si>
    <t>6-12m</t>
  </si>
  <si>
    <t>Ginkgo biloba</t>
  </si>
  <si>
    <t>Nogueira-do-Japão</t>
  </si>
  <si>
    <t>Ginkgo</t>
  </si>
  <si>
    <t>GINKGOACEAE</t>
  </si>
  <si>
    <t>Piramidal/irregular</t>
  </si>
  <si>
    <t>Espinheiro-da-Virgínia</t>
  </si>
  <si>
    <t>Gleditsia</t>
  </si>
  <si>
    <t>Gleditsia triacanthos var. sunburst</t>
  </si>
  <si>
    <t>6-7m</t>
  </si>
  <si>
    <t>Grevillea robusta</t>
  </si>
  <si>
    <t>Grevílea</t>
  </si>
  <si>
    <t>Grevillea</t>
  </si>
  <si>
    <t xml:space="preserve">pivotante </t>
  </si>
  <si>
    <t>Hibiscus</t>
  </si>
  <si>
    <t>Hibiscus syriacus</t>
  </si>
  <si>
    <t>Hibisco</t>
  </si>
  <si>
    <t>Ovoidal/esférica</t>
  </si>
  <si>
    <t>Hibiscus syriacus var. minerva</t>
  </si>
  <si>
    <t>Ilex aquifolium</t>
  </si>
  <si>
    <t>Azevinho</t>
  </si>
  <si>
    <t>Ilex</t>
  </si>
  <si>
    <t>AQUIFOLIACEAE</t>
  </si>
  <si>
    <t>Sombra/meia-sombra</t>
  </si>
  <si>
    <t>Jacaranda ovalifolia</t>
  </si>
  <si>
    <t>Jacarandá</t>
  </si>
  <si>
    <t>Jacaranda</t>
  </si>
  <si>
    <t>Juglans nigra</t>
  </si>
  <si>
    <t>Nogueira-negra</t>
  </si>
  <si>
    <t>Juglans</t>
  </si>
  <si>
    <t>JUGLANDACEAE</t>
  </si>
  <si>
    <t>Juniperus chinensis var. blue</t>
  </si>
  <si>
    <t>Juniperus-da-China</t>
  </si>
  <si>
    <t>Juniperus</t>
  </si>
  <si>
    <t>Juniperus communis</t>
  </si>
  <si>
    <t>Zimbro-anão</t>
  </si>
  <si>
    <t>Juniperus oxycedrus</t>
  </si>
  <si>
    <t xml:space="preserve">Zimbro </t>
  </si>
  <si>
    <t>Lagerstroemia indica</t>
  </si>
  <si>
    <t>Extremosa</t>
  </si>
  <si>
    <t>Lagerstroemia</t>
  </si>
  <si>
    <t>LYTHRACEAE</t>
  </si>
  <si>
    <t>Lagunaria patersonia</t>
  </si>
  <si>
    <t>Lagunária</t>
  </si>
  <si>
    <t>Lagunaria</t>
  </si>
  <si>
    <t>Alergias (de pele em contacto com o fruto)</t>
  </si>
  <si>
    <t>Laurus nobilis</t>
  </si>
  <si>
    <t>Loureiro</t>
  </si>
  <si>
    <t>Laurus</t>
  </si>
  <si>
    <t>Colunar/Ovoidal</t>
  </si>
  <si>
    <t>Ligustrum japonicum</t>
  </si>
  <si>
    <t>Alfenheiro</t>
  </si>
  <si>
    <t>Ligustrum</t>
  </si>
  <si>
    <t>Ligustrum japonicum var. variegatum</t>
  </si>
  <si>
    <t>Ligustrum lucidum</t>
  </si>
  <si>
    <t>3-10m</t>
  </si>
  <si>
    <t>Ligustrum ovalifolium</t>
  </si>
  <si>
    <t>Ligustrum vulgare</t>
  </si>
  <si>
    <t>Liquidambar orientalis</t>
  </si>
  <si>
    <t>Liquidambar</t>
  </si>
  <si>
    <t>ALTINGIACEAE</t>
  </si>
  <si>
    <t>Liquidambar styraciflua</t>
  </si>
  <si>
    <t>Liriodendron tulipifera</t>
  </si>
  <si>
    <t>Tulipeiro</t>
  </si>
  <si>
    <t>Liriodendron</t>
  </si>
  <si>
    <t>MAGNOLIACEAE</t>
  </si>
  <si>
    <t>20-35m</t>
  </si>
  <si>
    <t>Magnolia figo</t>
  </si>
  <si>
    <t>Arbusto-banana</t>
  </si>
  <si>
    <t>Magnolia</t>
  </si>
  <si>
    <t>1,5-2,5m</t>
  </si>
  <si>
    <t>1,5m-2,5m</t>
  </si>
  <si>
    <t>Magnolia grandiflora</t>
  </si>
  <si>
    <t>Magnólia-sempre-verde</t>
  </si>
  <si>
    <t>Sombra suave</t>
  </si>
  <si>
    <t>Magnolia stellata</t>
  </si>
  <si>
    <t>Magnólia-estrela</t>
  </si>
  <si>
    <t>1,5-3m</t>
  </si>
  <si>
    <t>Magnolia virginiana</t>
  </si>
  <si>
    <t>Manólia</t>
  </si>
  <si>
    <t>Magnolia x soulangeana</t>
  </si>
  <si>
    <t>Magnólia-chinesa</t>
  </si>
  <si>
    <t>Malus domestica</t>
  </si>
  <si>
    <t>Macieira</t>
  </si>
  <si>
    <t>Malus</t>
  </si>
  <si>
    <t>Malus sylvestris var. domestica</t>
  </si>
  <si>
    <t>Macieira-brava</t>
  </si>
  <si>
    <t>Melaleuca armillaris</t>
  </si>
  <si>
    <t>Escovilhão</t>
  </si>
  <si>
    <t>Melaleuca</t>
  </si>
  <si>
    <t>4-9m</t>
  </si>
  <si>
    <t>Melia azedarach</t>
  </si>
  <si>
    <t>Mélia</t>
  </si>
  <si>
    <t>Melia</t>
  </si>
  <si>
    <t>MELIACEAE</t>
  </si>
  <si>
    <t>fruto venenoso</t>
  </si>
  <si>
    <t>Metrosideros excelsa</t>
  </si>
  <si>
    <t>Metrosídero</t>
  </si>
  <si>
    <t>Metrosideros</t>
  </si>
  <si>
    <t>Metrosideros robusta</t>
  </si>
  <si>
    <t>Morus alba</t>
  </si>
  <si>
    <t>Amoreira-branca</t>
  </si>
  <si>
    <t>Morus</t>
  </si>
  <si>
    <t>Morus alba var. pendula</t>
  </si>
  <si>
    <t>Pendular/esférica</t>
  </si>
  <si>
    <t>Morus kagayamae</t>
  </si>
  <si>
    <t>Morus nigra</t>
  </si>
  <si>
    <t>Amoreira-preta</t>
  </si>
  <si>
    <t>Myoporum laetum</t>
  </si>
  <si>
    <t>Mióporo</t>
  </si>
  <si>
    <t>Myoporum</t>
  </si>
  <si>
    <t>SCROPHULARIACEAE</t>
  </si>
  <si>
    <t>Nerium oleander</t>
  </si>
  <si>
    <t>Loendro</t>
  </si>
  <si>
    <t>Nerium</t>
  </si>
  <si>
    <t>APOCYNACEAE</t>
  </si>
  <si>
    <t>Olea europaea</t>
  </si>
  <si>
    <t>Oliveira</t>
  </si>
  <si>
    <t>Olea</t>
  </si>
  <si>
    <t>Olea europaea var.sylvestris</t>
  </si>
  <si>
    <t>Zambujeiro</t>
  </si>
  <si>
    <t>Ostrya carpinifolia</t>
  </si>
  <si>
    <t>Bordo-negro</t>
  </si>
  <si>
    <t>Ostrya</t>
  </si>
  <si>
    <t>10-18m</t>
  </si>
  <si>
    <t>Phellodendron amurense</t>
  </si>
  <si>
    <t>Sobreiro-de-Amur</t>
  </si>
  <si>
    <t>Phellodendron</t>
  </si>
  <si>
    <t>Phoenix canariensis</t>
  </si>
  <si>
    <t>Palmeira</t>
  </si>
  <si>
    <t>Phoenix</t>
  </si>
  <si>
    <t>ARECACEAE</t>
  </si>
  <si>
    <t>Phoenix dactylifera</t>
  </si>
  <si>
    <t>Tamareira</t>
  </si>
  <si>
    <t>Photinia glabra</t>
  </si>
  <si>
    <t>Fotínia</t>
  </si>
  <si>
    <t>Photinia</t>
  </si>
  <si>
    <t>3m</t>
  </si>
  <si>
    <t>Photinia serrulata</t>
  </si>
  <si>
    <t>Semiovoidal/elíptica</t>
  </si>
  <si>
    <t>Picea abies</t>
  </si>
  <si>
    <t>Abeto-falso</t>
  </si>
  <si>
    <t>Picea</t>
  </si>
  <si>
    <t>10-16m</t>
  </si>
  <si>
    <t>Picea pungens</t>
  </si>
  <si>
    <t>Abeto-azul</t>
  </si>
  <si>
    <t>Picea sitchensis</t>
  </si>
  <si>
    <t>Pícea-de-Sitka</t>
  </si>
  <si>
    <t>Pinus nigra</t>
  </si>
  <si>
    <t>Pinheiro-da-Austrália</t>
  </si>
  <si>
    <t>Pinus</t>
  </si>
  <si>
    <t>Pinus pinaster</t>
  </si>
  <si>
    <t>Pinheiro-bravo</t>
  </si>
  <si>
    <t>Pinus pinea</t>
  </si>
  <si>
    <t>Pinheiro-manso</t>
  </si>
  <si>
    <t>Pinus sp.</t>
  </si>
  <si>
    <t>Pinus strobus</t>
  </si>
  <si>
    <t>Pinheiro-branco</t>
  </si>
  <si>
    <t>Pinus sylvestris</t>
  </si>
  <si>
    <t>Pinheiro-de-casquinha</t>
  </si>
  <si>
    <t>25-35m</t>
  </si>
  <si>
    <t>Pittosporum crassifolium</t>
  </si>
  <si>
    <t>Pitósporo</t>
  </si>
  <si>
    <t>Pittosporum</t>
  </si>
  <si>
    <t>PITTOSPORACEAE</t>
  </si>
  <si>
    <t>Pittosporum tobira</t>
  </si>
  <si>
    <t>Platanus orientalis</t>
  </si>
  <si>
    <t>Plátano-oriental</t>
  </si>
  <si>
    <t>Platanus</t>
  </si>
  <si>
    <t>PLATANACEAE</t>
  </si>
  <si>
    <t>Platanus sp.</t>
  </si>
  <si>
    <t>Platanus x acerifolia</t>
  </si>
  <si>
    <t>Plátano</t>
  </si>
  <si>
    <t>Platanus x acerifolia var. suttneri</t>
  </si>
  <si>
    <t>Platanus x hispanica</t>
  </si>
  <si>
    <t>Populus alba</t>
  </si>
  <si>
    <t>Choupo-branco</t>
  </si>
  <si>
    <t>Populus</t>
  </si>
  <si>
    <t>SALICACEAE</t>
  </si>
  <si>
    <t>4-15m</t>
  </si>
  <si>
    <t>4-12m</t>
  </si>
  <si>
    <t>Populus alba var. bolleana</t>
  </si>
  <si>
    <t>4-10m</t>
  </si>
  <si>
    <t>Populus deltoides</t>
  </si>
  <si>
    <t>Choupo-americano</t>
  </si>
  <si>
    <t>Populus nigra</t>
  </si>
  <si>
    <t>Choupo-negro</t>
  </si>
  <si>
    <t>3-12m</t>
  </si>
  <si>
    <t>Populus nigra var. italica</t>
  </si>
  <si>
    <t xml:space="preserve">Colunar </t>
  </si>
  <si>
    <t>Populus tremuloides</t>
  </si>
  <si>
    <t>álamo-trémulo</t>
  </si>
  <si>
    <t>Populus x canadensis</t>
  </si>
  <si>
    <t>choupo-híbrido</t>
  </si>
  <si>
    <t>Prunus avium</t>
  </si>
  <si>
    <t>Cerejeira</t>
  </si>
  <si>
    <t>Prunus</t>
  </si>
  <si>
    <t>Prunus cerasifera</t>
  </si>
  <si>
    <t>Ameixoeira-de-jardim</t>
  </si>
  <si>
    <t>Prunus cerasifera var. atropurpureum</t>
  </si>
  <si>
    <t>Prunus domestica</t>
  </si>
  <si>
    <t>Ameixeira</t>
  </si>
  <si>
    <t>Prunus dulcis</t>
  </si>
  <si>
    <t>Amendoeira</t>
  </si>
  <si>
    <t>Prunus laurocerasus</t>
  </si>
  <si>
    <t>Loureiro-real</t>
  </si>
  <si>
    <t>Prunus lusitanica</t>
  </si>
  <si>
    <t>Azereiro</t>
  </si>
  <si>
    <t>Prunus serrulata</t>
  </si>
  <si>
    <t>Cerejeira-de-jardim</t>
  </si>
  <si>
    <t>Prunus serrulata var. pink perfection</t>
  </si>
  <si>
    <t>Pseudotsuga menziesii</t>
  </si>
  <si>
    <t>Abeto-de-Douglas</t>
  </si>
  <si>
    <t>Pseudotsuga</t>
  </si>
  <si>
    <t>Punica granatum</t>
  </si>
  <si>
    <t>Romãzeira</t>
  </si>
  <si>
    <t>Punica</t>
  </si>
  <si>
    <t>Pyrus calleryana</t>
  </si>
  <si>
    <t>Pereira-de-jardim</t>
  </si>
  <si>
    <t>Pyrus</t>
  </si>
  <si>
    <t>Pyrus communis</t>
  </si>
  <si>
    <t>Pereira-brava</t>
  </si>
  <si>
    <t xml:space="preserve">fruto </t>
  </si>
  <si>
    <t>Quercus coccinea</t>
  </si>
  <si>
    <t>Carvalho-americano</t>
  </si>
  <si>
    <t>Quercus</t>
  </si>
  <si>
    <t>Quercus palustris</t>
  </si>
  <si>
    <t>Carvalho-dos-pântanos</t>
  </si>
  <si>
    <t>Esférica/semiovoidal</t>
  </si>
  <si>
    <t>15-18m</t>
  </si>
  <si>
    <t>Quercus pyrenaica</t>
  </si>
  <si>
    <t>Carvalho-negral</t>
  </si>
  <si>
    <t>Quercus robur</t>
  </si>
  <si>
    <t>Carvalho-alvarinho</t>
  </si>
  <si>
    <t>Quercus robur var. fastigiata</t>
  </si>
  <si>
    <t>Carvalho-alvarinho-fastigiata</t>
  </si>
  <si>
    <t>Quercus rubra</t>
  </si>
  <si>
    <t xml:space="preserve">Sobreiro </t>
  </si>
  <si>
    <t>Rhododendron ponticum</t>
  </si>
  <si>
    <t>Rododendro</t>
  </si>
  <si>
    <t>Rhododendron</t>
  </si>
  <si>
    <t>2,5-4m</t>
  </si>
  <si>
    <t>tolera poda</t>
  </si>
  <si>
    <t>Rhaphiolepis umbellata</t>
  </si>
  <si>
    <t>Rhaphiolepsis</t>
  </si>
  <si>
    <t>1-1,5m</t>
  </si>
  <si>
    <t>Robinia viscosa</t>
  </si>
  <si>
    <t>Acácia-rosa</t>
  </si>
  <si>
    <t>Robinia</t>
  </si>
  <si>
    <t>Salix alba</t>
  </si>
  <si>
    <t>Salgueiro-branco</t>
  </si>
  <si>
    <t>Salix</t>
  </si>
  <si>
    <t>Sol pleno/sombra suave</t>
  </si>
  <si>
    <t>Salix babylonica</t>
  </si>
  <si>
    <t>Salgueiro-chorão</t>
  </si>
  <si>
    <t>Salix caprea</t>
  </si>
  <si>
    <t>Eliptíca</t>
  </si>
  <si>
    <r>
      <t xml:space="preserve">Salix </t>
    </r>
    <r>
      <rPr>
        <sz val="11"/>
        <color theme="1"/>
        <rFont val="Calibri"/>
        <family val="2"/>
        <scheme val="minor"/>
      </rPr>
      <t>x</t>
    </r>
    <r>
      <rPr>
        <i/>
        <sz val="11"/>
        <color indexed="8"/>
        <rFont val="Calibri"/>
        <family val="2"/>
      </rPr>
      <t xml:space="preserve"> sepulcralis var.chrysocoma</t>
    </r>
  </si>
  <si>
    <t>20-15m</t>
  </si>
  <si>
    <t>18-22m</t>
  </si>
  <si>
    <t>Schinus molle</t>
  </si>
  <si>
    <t>Aroeira-mansa</t>
  </si>
  <si>
    <t>Schinus</t>
  </si>
  <si>
    <t>ANACARDIACEAE</t>
  </si>
  <si>
    <t>Sequoia sempervirens</t>
  </si>
  <si>
    <t>Sequoia-sempre-verde</t>
  </si>
  <si>
    <t>Sequoia</t>
  </si>
  <si>
    <t>Sophora japonica</t>
  </si>
  <si>
    <t>Acácia-do-Japão</t>
  </si>
  <si>
    <t>Sophora</t>
  </si>
  <si>
    <t>Sophora japonica var. pendula</t>
  </si>
  <si>
    <t>Sorbus aucuparia</t>
  </si>
  <si>
    <t>Tramazeira</t>
  </si>
  <si>
    <t>Sorbus</t>
  </si>
  <si>
    <t>Tamarix canariensis</t>
  </si>
  <si>
    <t>Tamargueira</t>
  </si>
  <si>
    <t>Tamarix</t>
  </si>
  <si>
    <t>TAMARICACEAE</t>
  </si>
  <si>
    <t>Tamarix gallica</t>
  </si>
  <si>
    <t>Tamarisco</t>
  </si>
  <si>
    <t>Tamarix parviflora</t>
  </si>
  <si>
    <t>Cedro-do-sal</t>
  </si>
  <si>
    <t>Taxus baccata</t>
  </si>
  <si>
    <t>Teixo</t>
  </si>
  <si>
    <t>Taxus</t>
  </si>
  <si>
    <t>TAXACEAE</t>
  </si>
  <si>
    <t>folha, flor e semene venenosos</t>
  </si>
  <si>
    <t>Thuja occidentalis</t>
  </si>
  <si>
    <t>Tuia-vulgar</t>
  </si>
  <si>
    <t>Thuja</t>
  </si>
  <si>
    <t>Platycladus orientalis</t>
  </si>
  <si>
    <t>Tuia-da-China</t>
  </si>
  <si>
    <t>Platycladus</t>
  </si>
  <si>
    <t>folha venenosa</t>
  </si>
  <si>
    <t>Thuja plicata</t>
  </si>
  <si>
    <t>Tuia-gigante</t>
  </si>
  <si>
    <t>10-30m</t>
  </si>
  <si>
    <t>Thuja plicata var. zebrina</t>
  </si>
  <si>
    <t>Thujopsis dolobrata</t>
  </si>
  <si>
    <t>Hiba</t>
  </si>
  <si>
    <t>Thujopsis</t>
  </si>
  <si>
    <t>Tilia cordata</t>
  </si>
  <si>
    <t>Tília-das-folhas-pequenas</t>
  </si>
  <si>
    <t>Tilia</t>
  </si>
  <si>
    <t>Tilia platyphyllos</t>
  </si>
  <si>
    <t>Tília-das-folhas-grandes</t>
  </si>
  <si>
    <t>8-18m</t>
  </si>
  <si>
    <t>Tilia tomentosa</t>
  </si>
  <si>
    <t>Tíia-argêntea</t>
  </si>
  <si>
    <t>Tilia x europeae</t>
  </si>
  <si>
    <t>Tília-europeia</t>
  </si>
  <si>
    <t>Rhapis excelsa</t>
  </si>
  <si>
    <t>Palmeira-rápis</t>
  </si>
  <si>
    <t>Rhapis</t>
  </si>
  <si>
    <t>Leque</t>
  </si>
  <si>
    <t>Trachycarpus fortunei</t>
  </si>
  <si>
    <t>Palmeira-da-China</t>
  </si>
  <si>
    <t>Trachycarpus</t>
  </si>
  <si>
    <t>Ulmus</t>
  </si>
  <si>
    <t>ULMACEAE</t>
  </si>
  <si>
    <t>Ulmus minor</t>
  </si>
  <si>
    <t>Ulmeiro</t>
  </si>
  <si>
    <t>Ulmus laevis</t>
  </si>
  <si>
    <t>Ulmeiro-branco-europeu</t>
  </si>
  <si>
    <t>Ulmus glabra</t>
  </si>
  <si>
    <t>Ulmeiro-da-montanha</t>
  </si>
  <si>
    <t>Ulmus carpinifolia</t>
  </si>
  <si>
    <t xml:space="preserve">Ulmeiro </t>
  </si>
  <si>
    <t>Viburnum</t>
  </si>
  <si>
    <t>ADOXACEAE</t>
  </si>
  <si>
    <t>Viburnum tinus</t>
  </si>
  <si>
    <t>Folhado</t>
  </si>
  <si>
    <t>Washingtonia filifera</t>
  </si>
  <si>
    <t>Palmeira-da-Califórnia</t>
  </si>
  <si>
    <t>Washingtonia</t>
  </si>
  <si>
    <t>Washingtonia robusta</t>
  </si>
  <si>
    <t>Palmeira-de-leque-do-México</t>
  </si>
  <si>
    <t>Zelkova serrata</t>
  </si>
  <si>
    <t>Zelkova</t>
  </si>
  <si>
    <t>Coluna1</t>
  </si>
  <si>
    <t>Coluna2</t>
  </si>
  <si>
    <t>Coluna3</t>
  </si>
  <si>
    <t>6-8</t>
  </si>
  <si>
    <t>4-6</t>
  </si>
  <si>
    <t>5-8</t>
  </si>
  <si>
    <t>10</t>
  </si>
  <si>
    <t>2-4</t>
  </si>
  <si>
    <t>2-3</t>
  </si>
  <si>
    <t>8-10</t>
  </si>
  <si>
    <t>10-15</t>
  </si>
  <si>
    <t>10-14</t>
  </si>
  <si>
    <t>8-12</t>
  </si>
  <si>
    <t>4-8</t>
  </si>
  <si>
    <t>2-8</t>
  </si>
  <si>
    <t>6-10</t>
  </si>
  <si>
    <t>1,5-4</t>
  </si>
  <si>
    <t>1-3</t>
  </si>
  <si>
    <t>5</t>
  </si>
  <si>
    <t>12-15</t>
  </si>
  <si>
    <t>15-20</t>
  </si>
  <si>
    <t>5-7</t>
  </si>
  <si>
    <t>8-20</t>
  </si>
  <si>
    <t>12-24</t>
  </si>
  <si>
    <t>3-4</t>
  </si>
  <si>
    <t>3-8</t>
  </si>
  <si>
    <t>1-2</t>
  </si>
  <si>
    <t>4-5</t>
  </si>
  <si>
    <t>2-10</t>
  </si>
  <si>
    <t>8-15</t>
  </si>
  <si>
    <t>2</t>
  </si>
  <si>
    <t>10-12</t>
  </si>
  <si>
    <t>18-20</t>
  </si>
  <si>
    <t>6-7</t>
  </si>
  <si>
    <t>2-6</t>
  </si>
  <si>
    <t>3-5</t>
  </si>
  <si>
    <t>2-5</t>
  </si>
  <si>
    <t>1,5-2,5</t>
  </si>
  <si>
    <t>1,5-3</t>
  </si>
  <si>
    <t>4-9</t>
  </si>
  <si>
    <t>6-12</t>
  </si>
  <si>
    <t>3</t>
  </si>
  <si>
    <t>3-6</t>
  </si>
  <si>
    <t>10-16</t>
  </si>
  <si>
    <t>4-15</t>
  </si>
  <si>
    <t>4-12</t>
  </si>
  <si>
    <t>15-18</t>
  </si>
  <si>
    <t>5-6</t>
  </si>
  <si>
    <t>2,5-4</t>
  </si>
  <si>
    <t>1-1,5</t>
  </si>
  <si>
    <t>20-15</t>
  </si>
  <si>
    <t>10-20</t>
  </si>
  <si>
    <t>Coluna12</t>
  </si>
  <si>
    <t>Largura média de copa (metros)</t>
  </si>
  <si>
    <t>Coluna 23</t>
  </si>
  <si>
    <t>O preenchimento desta folha necessita apenas da introdução da espécie para cada exemplar existente no terreno. A largura da copa expectável é obtida a partir do Plano de Arborização da Cidade do Porto e utiliza o valor médio da largura expectável da copa, em contexto urbano, para calcular a área de cada árvore, assumindo que a área de cada árvore é circular. A área conservada é a soma das áreas de todos os exemplares identificados.</t>
  </si>
  <si>
    <t>Nº de árvores conservadas</t>
  </si>
  <si>
    <t>Plano de Arborização da Cidade do Porto - https://ambiente.cm-porto.pt/ambiente/plano-de-arborizacao</t>
  </si>
  <si>
    <t>Definições legais e suas fontes</t>
  </si>
  <si>
    <t>Decreto Regulamentar n.º 5/2019</t>
  </si>
  <si>
    <r>
      <t xml:space="preserve">Sistema Certificação Energética dos Edifícios (SCE) - Decreto-Lei n.º 118/2013 - </t>
    </r>
    <r>
      <rPr>
        <b/>
        <sz val="11"/>
        <color rgb="FFFF0000"/>
        <rFont val="Calibri"/>
        <family val="2"/>
        <scheme val="minor"/>
      </rPr>
      <t>revogado</t>
    </r>
  </si>
  <si>
    <t>Indicador de Eficiência Energética de Consumos fóssil de tipo S</t>
  </si>
  <si>
    <t>Área histórica</t>
  </si>
  <si>
    <t xml:space="preserve">
</t>
  </si>
  <si>
    <t>INFORMAÇÕES DA PARCELA</t>
  </si>
  <si>
    <t>Distinção I.A.</t>
  </si>
  <si>
    <t>GUIA DE UTILIZAÇÃO</t>
  </si>
  <si>
    <t>DEFINIÇÕES ÍNDICE AMBIENTAL</t>
  </si>
  <si>
    <t>DIAGNÓSTICO ARBÓREO</t>
  </si>
  <si>
    <t>Este documento é composto pelas seguintes folhas:</t>
  </si>
  <si>
    <t>Descrição do documento</t>
  </si>
  <si>
    <t xml:space="preserve">Descrições técnicas </t>
  </si>
  <si>
    <t>Definições I.A.</t>
  </si>
  <si>
    <t>Apresenta as variáveis de cálculo utilizadas e como se calculam / obtém</t>
  </si>
  <si>
    <r>
      <t>Diagnóstico arbóreo</t>
    </r>
    <r>
      <rPr>
        <b/>
        <sz val="11"/>
        <color theme="6" tint="-0.499984740745262"/>
        <rFont val="Helvetica Neue"/>
      </rPr>
      <t/>
    </r>
  </si>
  <si>
    <t>Modo de utilização</t>
  </si>
  <si>
    <t>Carbono Incorporado (kgCO2e / m2)</t>
  </si>
  <si>
    <t>kgCO2e / m2</t>
  </si>
  <si>
    <t>Carbono Biogénico</t>
  </si>
  <si>
    <t>Carbono Incorporado</t>
  </si>
  <si>
    <t>Operação urbanística principal - conforme RJUE</t>
  </si>
  <si>
    <t>Obras de reconstrução</t>
  </si>
  <si>
    <t>Obras de alteração</t>
  </si>
  <si>
    <t>Obras de ampliação</t>
  </si>
  <si>
    <t>RCDs preparados</t>
  </si>
  <si>
    <t>% mínima</t>
  </si>
  <si>
    <t>Categoria 3 Total (kg)</t>
  </si>
  <si>
    <t>Categoria 2 Total (kg)</t>
  </si>
  <si>
    <t>Categoria 1 Total (kg)</t>
  </si>
  <si>
    <t>Categoria 1 Primária (kg)</t>
  </si>
  <si>
    <t>Categoria 2 Primária (kg)</t>
  </si>
  <si>
    <t>Categoria 3 Primária (kg)</t>
  </si>
  <si>
    <t>Categoria 1 - identificação</t>
  </si>
  <si>
    <t>combinado de betão, pedra natural ou aglomerado de pedra</t>
  </si>
  <si>
    <t>combinado de tijolos, ladrilhos e cerâmica</t>
  </si>
  <si>
    <t>materiais de base biológica</t>
  </si>
  <si>
    <t>combinado do vidro e isolantes minerais</t>
  </si>
  <si>
    <t>plástico de base não biológica</t>
  </si>
  <si>
    <t>metais</t>
  </si>
  <si>
    <t>gesso</t>
  </si>
  <si>
    <t>Categoria 2 - identificação</t>
  </si>
  <si>
    <t>Categoria 3 - identificação</t>
  </si>
  <si>
    <t>Área arbórea conservada (m2)</t>
  </si>
  <si>
    <t>Limite mínimo</t>
  </si>
  <si>
    <t>Limite máximo</t>
  </si>
  <si>
    <t>1. Energia</t>
  </si>
  <si>
    <t xml:space="preserve">1.2. Contributo de energia renovável no consumo de energia do edifício </t>
  </si>
  <si>
    <t>Ponderação no domínio:</t>
  </si>
  <si>
    <t>Define-se como o rácio entre a necessidade de energia útil para aquecimento real (Nic) e a necessidade nominal de energia útil para aquecimento de referência (Ni)</t>
  </si>
  <si>
    <t>1.1. Necessidades de energia para aquecimento (Residencial)</t>
  </si>
  <si>
    <t>1.1. Indicador de Eficiência Energética de Consumos de tipo S (Comércio &amp; Serviços)</t>
  </si>
  <si>
    <t>Define-se como a relação entre os consumos energéticos provenientes de energia fóssil e os consumos de energia primária de referência para o edifício</t>
  </si>
  <si>
    <t>Nic
kWh/(m2.ano)</t>
  </si>
  <si>
    <t>Ni
kWh/(m2.ano)</t>
  </si>
  <si>
    <t>Nic / Ni 
%</t>
  </si>
  <si>
    <t>Rácio máximo 
(0 pontos)</t>
  </si>
  <si>
    <t>Rácio mínimo 
(1 ponto)</t>
  </si>
  <si>
    <t>Define-se como o contributo de energia renovável no consumo de energia do edifício</t>
  </si>
  <si>
    <t>% mínima
(0,4 pontos)</t>
  </si>
  <si>
    <t>% máxima
(1 ponto)</t>
  </si>
  <si>
    <t>1.3. Rácio de classe energética (Residencial)</t>
  </si>
  <si>
    <t>Define-se como a relação entre as necessidades nominais de energia primária previstas e de referência.</t>
  </si>
  <si>
    <t>IEEs,ref
kWh/(m2.ano)</t>
  </si>
  <si>
    <t>IEEfossil,s
kWh/(m2.ano)</t>
  </si>
  <si>
    <t>IEEfossil,s/IEEs,ref
%</t>
  </si>
  <si>
    <t>RNT = Ntc / Nt
%</t>
  </si>
  <si>
    <t>Rácio máximo 
(0,4 pontos)</t>
  </si>
  <si>
    <t>1.3. Rácio de classe energética (Comércio &amp; Serviços)</t>
  </si>
  <si>
    <r>
      <t>Nt 
kWh</t>
    </r>
    <r>
      <rPr>
        <b/>
        <vertAlign val="subscript"/>
        <sz val="10"/>
        <color theme="1"/>
        <rFont val="Helvetica Neue"/>
      </rPr>
      <t>ep</t>
    </r>
    <r>
      <rPr>
        <b/>
        <sz val="10"/>
        <color theme="1"/>
        <rFont val="Helvetica Neue"/>
      </rPr>
      <t>/(m2.ano)</t>
    </r>
  </si>
  <si>
    <r>
      <t>Ntc
kWh</t>
    </r>
    <r>
      <rPr>
        <b/>
        <vertAlign val="subscript"/>
        <sz val="10"/>
        <color theme="1"/>
        <rFont val="Helvetica Neue"/>
      </rPr>
      <t>ep</t>
    </r>
    <r>
      <rPr>
        <b/>
        <sz val="10"/>
        <color theme="1"/>
        <rFont val="Helvetica Neue"/>
      </rPr>
      <t>/(m2.ano)</t>
    </r>
  </si>
  <si>
    <t>Define-se como a relação entre os indicadores de eficiência energética do tipo S previsto, tendo em conta o contributo de fontes de energia renovável, e de referência</t>
  </si>
  <si>
    <t>Qa 
kWh / ano</t>
  </si>
  <si>
    <t>Eren
kWh / ano</t>
  </si>
  <si>
    <t>Rácio mínimo 
(0 pontos)</t>
  </si>
  <si>
    <t>Rácio máximo 
(1 ponto)</t>
  </si>
  <si>
    <t>RenHab = Eren / Qa
%</t>
  </si>
  <si>
    <t>51% das emissões de Gases Efeito de Estufa (GEE) da cidade do Porto são provenientes dos edifícios. A neutralidade carbónica da cidade só poderá ser atingida se for reduzido o consumo energético dos edifícios ao mesmo tempo que a energia que consomem se torne cada vez mais renovável. O Índice Ambiental pretende, através da avaliação do desempenho energético dos edifícios com critérios near-Zero Energy Building (NZEB), fomentar a qualidade de vida e conforto térmico dos seus ocupantes com elevada eficiência energética. Por outro lado, promove o aproveitamento das fontes renováveis no próprio edifício, fomentando a produção de eletricidade e/ou calor a partir de fontes renováveis. O Município do Porto aplica assim as diretrizes europeias em termos de desempenho energético, que prevêm que todos os edifícios novos sejam de emissões nulas a partir de 1 de janeiro de 2030.</t>
  </si>
  <si>
    <t>Pontuação final</t>
  </si>
  <si>
    <t>Ponderação do domínio</t>
  </si>
  <si>
    <t>RPDM Porto</t>
  </si>
  <si>
    <t>DESCRIÇÕES TÉCNICAS DETALHADA</t>
  </si>
  <si>
    <t>ÍNDICE AMBIENTAL DO PORTO</t>
  </si>
  <si>
    <t>2. Biodiversidade e infraestrutura verde</t>
  </si>
  <si>
    <t>Área arbórea existente (m2)</t>
  </si>
  <si>
    <t>O preenchimento desta folha necessita apenas da introdução da espécie para cada exemplar conservado no terreno. A largura da copa expectável é obtida a partir do Plano de Arborização da Cidade do Porto e utiliza o valor médio da largura expectável da copa, em contexto urbano, para calcular a área de cada árvore, assumindo que a área de cada árvore é circular. A área conservada é a soma das áreas de todos os exemplares conservados.</t>
  </si>
  <si>
    <t>Máximo
(1 ponto)</t>
  </si>
  <si>
    <t>O preenchimento desta folha necessita apenas da introdução da espécie para cada exemplar introduzido no terreno. A largura da copa expectável é obtida a partir do Plano de Arborização da Cidade do Porto e utiliza o valor médio da largura expectável da copa, em contexto urbano, para calcular a área de cada árvore, assumindo que a área de cada árvore é circular. A área arbórea introduzido é a soma das áreas de todos os exemplares identificados.</t>
  </si>
  <si>
    <t>ÁREA ARBORIZADA</t>
  </si>
  <si>
    <t>ÁREA ARBÓREA CONSERVADA</t>
  </si>
  <si>
    <t>Mínimo
(0,2 pontos)</t>
  </si>
  <si>
    <t>Rácio de arborização
(%)</t>
  </si>
  <si>
    <t>Nome da medida</t>
  </si>
  <si>
    <t>Descrição detalhada</t>
  </si>
  <si>
    <t>Majoração de continuidade</t>
  </si>
  <si>
    <t>Majoração de baixa necessidade hídrica</t>
  </si>
  <si>
    <t>3. Água e Drenagem Sustentável</t>
  </si>
  <si>
    <t>Volume precipitado (m3)</t>
  </si>
  <si>
    <t>Obtenção de certificado do sistema de classificação do desempenho hídrico de edifícios e imóveis AQUA+, criado pela ADENE.
A Classificação AQUA+ incide sobre diversos aspetos que influenciam: o consumo de água no edifício/usos interiores (eficiência dos dispositivos – sistema de duche/chuveiro, autoclismo, lavatório WC, lava-loiça cozinha, outros – e dos equipamentos de lavagem, sistemas de produção e distribuição de água quente); o consumo de água em usos exteriores (rega, piscina, coberturas, outros); e, por fim, a reutilização das águas cinzentas e o aproveitamento das águas pluviais, para usos interiores e exteriores (fontes alternativas de água, entre outras). Pontuação consoante a classificação AQUA+</t>
  </si>
  <si>
    <t>4. Economia Circular e Carbono</t>
  </si>
  <si>
    <t>4.1. Gestão de RCDs</t>
  </si>
  <si>
    <t>Rácio de RCDs preparados
(%)</t>
  </si>
  <si>
    <t>RCDs preparados 
(kg)</t>
  </si>
  <si>
    <t>RCDs produzidos 
(kg)</t>
  </si>
  <si>
    <t>4.2. Utilização de matérias-primas secundárias</t>
  </si>
  <si>
    <t>Rácio Categoria 1
(%)</t>
  </si>
  <si>
    <t>Mínimo Taxonomia Europeia Categoria 1 
(%)</t>
  </si>
  <si>
    <t>Máximo Categoria 1
(%)</t>
  </si>
  <si>
    <t>4.3. Carbono Biogénico</t>
  </si>
  <si>
    <t>4.4. Carbono Incorporado</t>
  </si>
  <si>
    <t>Calcula-se como o rácio entre o carbono biogénico presente no edifício e um limiar de referência. O Carbono biogénico deve ser calculado de acordo com uma análise de Ciclo de Vida e seguindo a metodologia Low Carbon Building Initiative - https://www.lowcarbonbuilding.com/methodology/. A análise de Ciclo de Vida deve estar de acordo com a EN 15978 e EN15804+A1 e +A2. Os materiais de base biológica apenas poderão ser contabilizados se a sua extração for sustentável e documentada (por exemplo, FSC).
É utilizado como limiar mínimo 5kgCO2e/m2 e limiar máximo 70 kgCO2e/m2, a partir do qual a pontuação é total. Deve ser apresentada uma Análise de Ciclo de Vida do edifício que demonstre a quantidade de carbono biogénico presente no edifício.</t>
  </si>
  <si>
    <t>Carbono Biogénico 
(kgCO2e / m2)</t>
  </si>
  <si>
    <t>Máximo
(kgCO2e / m2)</t>
  </si>
  <si>
    <t>Mínimo
(kgCO2e / m2)</t>
  </si>
  <si>
    <t>Rácio entre o carbono incorporado do edifício e um patamar de referência. O Carbono incorporado deve ser calculado de acordo com uma análise de Ciclo de Vida e seguindo a metodologia Low Carbon Building Initiative - https://www.lowcarbonbuilding.com/methodology/. A análise de Ciclo de Vida estar de acordo com a EN 15978 e EN15804+A1 e +A2. É utilizado como patamar de referência 1000 kgCO2e/m2. A partir de 700 kgCO2e/m2, a pontuação é máxima. Deve ser apresentada uma Análise de Ciclo de Vida do edifício que demonstre a quantidade de carbono incorporado do edifício.</t>
  </si>
  <si>
    <t>1.4. Relação entre a energia primária total renovável para autoconsumo nos usos regulados do edifício e a energia primária total para o uso de AQS (Residencial)</t>
  </si>
  <si>
    <t>Folha de apresentação das diversas medidas, descrições detalhadas e operacionalização das mesmas.</t>
  </si>
  <si>
    <t>2. Biodiversidade + I. Verde</t>
  </si>
  <si>
    <t>3. Água + Drenagem Sustentável</t>
  </si>
  <si>
    <t>4. Economia Circular + Carbono</t>
  </si>
  <si>
    <r>
      <t>0. Informação preparatória</t>
    </r>
    <r>
      <rPr>
        <b/>
        <sz val="11"/>
        <color theme="6" tint="-0.499984740745262"/>
        <rFont val="Helvetica Neue"/>
      </rPr>
      <t/>
    </r>
  </si>
  <si>
    <t xml:space="preserve">Apresenta o resultado final, a distinção ambiental e a redução de TMI aplicada caso se cumpram as medidas conforme indicadas pela pessoa interessada. Serve como guia para projetistas / arquitectos poderem testar as soluções de desenho. Apresenta ainda propostas de melhoria consoante as pontuações de cada medida </t>
  </si>
  <si>
    <t>Resultado final I.A.</t>
  </si>
  <si>
    <t>Define-se como o rácio entre a energia proveniente de fontes renováveis para AQS (Eren) e a Energia útil para preparação de água quente sanitária (Qa).</t>
  </si>
  <si>
    <t>Oportunidades de melhoria</t>
  </si>
  <si>
    <t>Considere aumentar as fontes de energia renovável para aquecimento de Águas Quentes Sanitárias.</t>
  </si>
  <si>
    <t>2. Biodiversidade e Infraestrutura verde</t>
  </si>
  <si>
    <t>A introdução de exemplares arbóreos permitirá ocupar toda a área arborizável. Considere introduzir espécies autóctones e de folha caduca, que ao longo do tempo poderão reforçar a qualidade dos solos e permitir a passagem de luz no inverno e oferecer sombra no verão.</t>
  </si>
  <si>
    <t>4. Economia circular e Carbono</t>
  </si>
  <si>
    <t>Tente garantir uma melhor gestão dos RCD's em obra, falta pouco para a valorização total.</t>
  </si>
  <si>
    <t>Verificação da medida:</t>
  </si>
  <si>
    <t>Certificado Energético ADENE</t>
  </si>
  <si>
    <t>Certificado Energético ADENE OU Declaração de técnico certificado (aplica-se apenas à indústria)</t>
  </si>
  <si>
    <t>2.3. Área verde biodiversa, multifuncional e de baixa necessidade hídrica</t>
  </si>
  <si>
    <t>Certificado AQUA+ ADENE</t>
  </si>
  <si>
    <t>Limite mínimo Reconst</t>
  </si>
  <si>
    <t>Limite máximo Reconst</t>
  </si>
  <si>
    <t>Verifica-se manutenção de pelo menos 40% da área de edificação original?</t>
  </si>
  <si>
    <t>O setor da construção e edificado é responsável é o setor com maior responsabilidade tanto no uso global de energia final (36%) como nas emissões de CO2 relacionadas com a energia (39%) (IEA, 2018). É fundamental reduzir o consumo energético dos edifícios e implementar medidas passivas e de baixo carbono, assim como transformar os métodos construtivos e os materiais utilizados em materiais de baixo carbono ou de carbono negativo. Práticas circulares de gestão de recursos, gestão de resíduos e gestão dos componentes dos edifícios, podem ser uma solução para a transformação do setor da construção. O Município do Porto publicou em 2017 o seu Roadmap para a Economia Circular 2030, com o objetivo de se tornar uma cidade circular em 2030. A União Europeia já apresentou os critérios técnicos que irão classificar as atividades construtivas como verdes para poderem ter acesso a financiamento e investimento. O Índice Ambiental do Porto, através do domínio da economia circular e carbono, pretende fomentar práticas construtivas e de gestão de recursos e matérias-primas inovadoras que contribuam tanto para a sustentabilidade e neutralidade carbónica da cidade como promovam a inovação por parte dos atores do setor da construção, podendo o Porto tornar-se, num futuro próximo, uma cidade exemplo de arquitetura e construção sustentável.</t>
  </si>
  <si>
    <r>
      <t xml:space="preserve">As projeções climáticas para a cidade do Porto apresentam duas alterações críticas com consequências adversas para a gestão da água na cidade: 1) diminuição da precipitação média anual; 2) Aumento dos fenómenos de precipitação intensos num curto espaço de tempo. Associando estes fenómenos à crescente impermeabilização da cidade, tem-se verificado um aumento dos danos provocados pela água em ambiente urbano assim como a morte prematura de árvores devido à falta de recarga dos aquíferos da cidade. O Índice Ambiental do Porto pretende desta forma potenciar a gestão integrada das águas pluviais através do aumento da permeabilidade das parcelas, ao mesmo tempo que promove um integração do edifício com o entorno urbano em termos de gestão da água. Usando a Natureza como fonte de inspiração, as </t>
    </r>
    <r>
      <rPr>
        <i/>
        <sz val="11"/>
        <color theme="1" tint="0.34998626667073579"/>
        <rFont val="Helvetica Neue"/>
      </rPr>
      <t>Nature Based Solutions (NBS)</t>
    </r>
    <r>
      <rPr>
        <sz val="11"/>
        <color theme="1" tint="0.34998626667073579"/>
        <rFont val="Helvetica Neue"/>
      </rPr>
      <t xml:space="preserve"> são uma solução viável do ponto de vista ambiental, social e económica, que o Município do Porto já coloca em prática nos seus espaços verdes públicos e que pretende agora que sejam implementadas nos espaços privados. A eficiência hídrica dos edifícios, de forma similar à eficiência energética, é também uma medida inovadora que reconhece o valor da água como recurso fundamental para a existência humana.</t>
    </r>
  </si>
  <si>
    <t>Os estudo climáticos da cidade demonstram que uma das consequências mais nefastas das alterações climáticos no Porto são os extremos de calor e de frio, com perdas de vidas humanas como consequência destes eventos. Por outro lado, reconhece-se a perda de biodiversidade como uma das crises planetárias em curso com mais efeitos negativos ao nível dos ecossistemas, e do sistema alimentar em concreto. A infraestrutura verde, tanto nos terrenos adjacentes aos edifícios como nos próprios edifícios, permite mitigar os efeitos climáticos através: 1) da captura de carbono; 2) da redução do efeito da ilha de calor urbana; e 3) da promoção e preservação da biodiversidade existente. O Índice Ambiental do Porto pretende promover práticas de preservação e melhoria dos serviços ecossistémicos proporcionados pelos espaços verdes, tanto nas parcelas como nos próprios edifícios. Pretende-se assim pensar em corredores e contínuos verdes, hotspots de biodiversidades ou outro tipo de soluções à liberdade dos projetistas que permitam reforçar o esforço do Município nesta área. Este domínio deve ser pensado integrado com o domínio 3. Água e Drenagem Sustentável, de forma a criar sinergias e sistemas integrados de gestão de água e de espaços verdes.</t>
  </si>
  <si>
    <t>Registo de edições</t>
  </si>
  <si>
    <t>Calculadora IA</t>
  </si>
  <si>
    <t>Versão</t>
  </si>
  <si>
    <t>Edição</t>
  </si>
  <si>
    <t>Alterações aplicadas</t>
  </si>
  <si>
    <t>Data</t>
  </si>
  <si>
    <t>Criação do documento</t>
  </si>
  <si>
    <t>Área verde de fruição coletiva</t>
  </si>
  <si>
    <t>Área verde lúdico-produtiva</t>
  </si>
  <si>
    <t>Fonte da informação</t>
  </si>
  <si>
    <t>Espécie (caso não exista no Plano de Arborização da cidade do Porto)</t>
  </si>
  <si>
    <t>Folha "4.Economia Circular e Carbono" - introdução de regras para diferenciar a reconstrução da construção nas medidas 4.2, 4.3 e 4.4.
Homogeneização visual de todas as folhas da calculadora</t>
  </si>
  <si>
    <t>Indicação de existência de exemplares a conservar transferida para folha 2. Biodiversidade e verde.
Na folha 0. Informação Preparatória, criação das células E16, E17, C16, C17 e D16 para valorização diferencial para casos com domínios / medidas impossíveis de concretizar em termos de espaços verdes e/ou permeabilidade.
Redistribuição da ponderação de cada domínio em situações impossíveis de concretizar: conservação de árvores, introdução de árvores, existência de área verde, capacidade de telhados verdes.
Redistribuição da ponderação da medida 3.1. no caso de existirem imposições do PDM que impossibilitem a sua execução.
Acrescentadas linhas nas folhas de introdução de exemplares para permitir a inserção de espécies que não fazem parte do Plano de Arborização da Cidade.
Eliminação de folhas redundantes criadas no processo de definição do I.A.
O I.A. passa a pontuar de 0 a 10 em vez de 0 a 1.</t>
  </si>
  <si>
    <t xml:space="preserve">Aplicam-se as definições e normas constantes do Regulamento Delegado (UE) 2023/2486, que estabele os critérios técnicos de avaliação para determinar em que condições uma atividade económica é qualificada como contribuindo substancialmente para a transição para uma economia circular (Taxonomia Europeia), nomeadamente a informação patente no ponto 3.1 do Anexo II do referido documento, alínea 4
</t>
  </si>
  <si>
    <r>
      <rPr>
        <b/>
        <sz val="11"/>
        <color theme="6" tint="-0.499984740745262"/>
        <rFont val="Helvetica Neue"/>
      </rPr>
      <t>A preencher</t>
    </r>
    <r>
      <rPr>
        <sz val="11"/>
        <color theme="6" tint="-0.499984740745262"/>
        <rFont val="Helvetica Neue"/>
      </rPr>
      <t xml:space="preserve"> - introdução de características relativas à parcela e à operação urbanística</t>
    </r>
  </si>
  <si>
    <r>
      <rPr>
        <b/>
        <sz val="11"/>
        <color theme="6" tint="-0.499984740745262"/>
        <rFont val="Helvetica Neue"/>
      </rPr>
      <t>A preencher</t>
    </r>
    <r>
      <rPr>
        <sz val="11"/>
        <color theme="6" tint="-0.499984740745262"/>
        <rFont val="Helvetica Neue"/>
      </rPr>
      <t xml:space="preserve"> - introdução dos valores relacionados com o domínio da energia para efeitos de cálculo do valor do Índice Ambiental.</t>
    </r>
  </si>
  <si>
    <r>
      <rPr>
        <b/>
        <sz val="11"/>
        <color theme="6" tint="-0.499984740745262"/>
        <rFont val="Helvetica Neue"/>
      </rPr>
      <t>A preencher</t>
    </r>
    <r>
      <rPr>
        <sz val="11"/>
        <color theme="6" tint="-0.499984740745262"/>
        <rFont val="Helvetica Neue"/>
      </rPr>
      <t>- introdução dos valores relacionados com o domínio da Água e Drenagem Sustentável para efeitos de cálculo do valor do Índice Ambiental.</t>
    </r>
  </si>
  <si>
    <r>
      <rPr>
        <b/>
        <sz val="11"/>
        <color theme="6" tint="-0.499984740745262"/>
        <rFont val="Helvetica Neue"/>
      </rPr>
      <t>A preencher</t>
    </r>
    <r>
      <rPr>
        <sz val="11"/>
        <color theme="6" tint="-0.499984740745262"/>
        <rFont val="Helvetica Neue"/>
      </rPr>
      <t xml:space="preserve"> - introdução dos valores relacionados com o domínio da Biodiversidade e Infraestrutura verde para efeitos de cálculo do valor do Índice Ambiental.</t>
    </r>
  </si>
  <si>
    <r>
      <rPr>
        <b/>
        <sz val="11"/>
        <color theme="6" tint="-0.499984740745262"/>
        <rFont val="Helvetica Neue"/>
      </rPr>
      <t xml:space="preserve">A preencher </t>
    </r>
    <r>
      <rPr>
        <sz val="11"/>
        <color theme="6" tint="-0.499984740745262"/>
        <rFont val="Helvetica Neue"/>
      </rPr>
      <t>- introdução dos valores relacionados com o domínio da Economia Circular e Carbono para efeitos de cálculo do valor do Índice Ambiental.</t>
    </r>
  </si>
  <si>
    <r>
      <rPr>
        <b/>
        <sz val="11"/>
        <color theme="6" tint="-0.499984740745262"/>
        <rFont val="Helvetica Neue"/>
      </rPr>
      <t xml:space="preserve">A preencher </t>
    </r>
    <r>
      <rPr>
        <sz val="11"/>
        <color theme="6" tint="-0.499984740745262"/>
        <rFont val="Helvetica Neue"/>
      </rPr>
      <t>- Indicação dos diferentes exemplares arbóreos existentes no terreno, antes de qualquer movimentação de terras ou início de obras.</t>
    </r>
  </si>
  <si>
    <r>
      <rPr>
        <b/>
        <sz val="11"/>
        <color theme="6" tint="-0.499984740745262"/>
        <rFont val="Helvetica Neue"/>
      </rPr>
      <t xml:space="preserve">A preencher </t>
    </r>
    <r>
      <rPr>
        <sz val="11"/>
        <color theme="6" tint="-0.499984740745262"/>
        <rFont val="Helvetica Neue"/>
      </rPr>
      <t>- indicação dos diferentes exemplares arbóreos que estarão conservados após o término da obra</t>
    </r>
  </si>
  <si>
    <r>
      <rPr>
        <b/>
        <sz val="11"/>
        <color theme="6" tint="-0.499984740745262"/>
        <rFont val="Helvetica Neue"/>
      </rPr>
      <t xml:space="preserve">A preencher </t>
    </r>
    <r>
      <rPr>
        <sz val="11"/>
        <color theme="6" tint="-0.499984740745262"/>
        <rFont val="Helvetica Neue"/>
      </rPr>
      <t>- indicação dos diferentes exemplares arbóreos introduzidos na parcela durante a execução da obra e que permanecerão na parcela</t>
    </r>
  </si>
  <si>
    <t>Área arbórea conservada</t>
  </si>
  <si>
    <t>Área verde associada a equipamentos</t>
  </si>
  <si>
    <t>Área de implantação (m2) (8.2 Quadro sinótico)</t>
  </si>
  <si>
    <t>0. Área de implantação corresponde ao 8.2 e não ao 5.2 do Quadro Sinótico
3.2. Indicação de existência de uma excepção à infiltração de águas pluviais
4. Resultado final aparece agora discriminado por domínio também, de forma a facilitar identificação de melhorias.
Páginas de exemplares arbóreos - corrigida a fórmula de cálculo das áreas, estava a ser considerado 1/2 do raio</t>
  </si>
  <si>
    <t>Habitacional</t>
  </si>
  <si>
    <t>Mínimo
(6 pontos)</t>
  </si>
  <si>
    <t>Máximo
(10 pontos)</t>
  </si>
  <si>
    <t>Conforme definido no Manual SCE, aprovado nos termos do artigo 4.º do Decreto-Lei n.º 101-D/2020, de 07 de Dezembro</t>
  </si>
  <si>
    <t>Indicador de eficiência energética de referência do tipo S</t>
  </si>
  <si>
    <t>Relação entre os indicadores de eficiência energética do tipo S previsto, tendo em conta o contributo de fontes de energia renovável, e de referência</t>
  </si>
  <si>
    <t xml:space="preserve">Rácio de classe energética em edifícios de comércio e/ou serviços </t>
  </si>
  <si>
    <t>Indicador de energia primária renovável em edifícios de habitação</t>
  </si>
  <si>
    <t>AarvPRE</t>
  </si>
  <si>
    <t xml:space="preserve">Área arbórea existente no terreno </t>
  </si>
  <si>
    <t>Somatório, em m2, das áreas ocupadas por cada exemplar arbóreo existente no terreno antes da execução da operação urbanística, calculada consoante os valores da largura expectável da copa em contexto urbano conforme Plano de Arborização da Cidade do Porto</t>
  </si>
  <si>
    <t>Ver "Diagnóstico Arbóreo"</t>
  </si>
  <si>
    <t xml:space="preserve">Área arbórea conservada </t>
  </si>
  <si>
    <t>AarvCONS</t>
  </si>
  <si>
    <t>Somatório, em m2, das áreas ocupadas por cada exemplar arbóreo conservado após a execução da operação urbanística, calculada consoante os valores da largura expectável da copa em contexto urbano conforme Plano de Arborização da Cidade do Porto</t>
  </si>
  <si>
    <t>Ver "Área arbórea conservada"</t>
  </si>
  <si>
    <t>Área arbórea introduzida</t>
  </si>
  <si>
    <t>AarvINT</t>
  </si>
  <si>
    <t>Somatório, em m2, das áreas ocupadas por cada exemplar arbóreo introduzido na parcela durante a execução da operação urbanística, calculada consoante os valores da largura expectável da copa em contexto urbano conforme Plano de Arborização da Cidade do Porto</t>
  </si>
  <si>
    <t>Ver "Área arborizada"</t>
  </si>
  <si>
    <t>Largura expectável da copa em contexto natural</t>
  </si>
  <si>
    <t>lcopaNAT</t>
  </si>
  <si>
    <t>Medida, em m, obtida da consulta da bibliografia, sob a forma de valor absoluto ou intervalo, para a largura expectável da copa ao fim do intervalo de 20 a 30 anos, sem que haja quaisquer constrangimentos de crescimento, conforme Plano de Arborização da Cidade do Porto. Caso se trate de um intervalo, é utilizado o valor médio do intervalo</t>
  </si>
  <si>
    <t>Plano de Arborização da Cidade do Porto</t>
  </si>
  <si>
    <t>Área, em m2, do espaço ao ar livre, destinado a funções de estadia, recreio e lazer, privado, de utilização coletiva ou de utilização comum, e adjacente ou integrado num edifício ou conjunto de edifícios</t>
  </si>
  <si>
    <t xml:space="preserve">Área do logradouro </t>
  </si>
  <si>
    <t>ALOGR</t>
  </si>
  <si>
    <t>Decreto Regulamentar n.º 5/2019, de 27 de setembro</t>
  </si>
  <si>
    <t>ABIODIV</t>
  </si>
  <si>
    <t>Área, em m2, do logradouro onde se verifica a existência de uma média de 15 espécies vegetais diferentes por metro quadrado e que pode incluir espécies herbáceas, arbustivas ou arbóreas, todas não invasoras;</t>
  </si>
  <si>
    <t xml:space="preserve">Continuidade vegetal </t>
  </si>
  <si>
    <t>Inexistência de fragmentação da área verde biodiversa</t>
  </si>
  <si>
    <t xml:space="preserve">Estratificação vegetal </t>
  </si>
  <si>
    <t>Distribuição de espécies vegetais ao longo de várias camadas segundo um plano vertical</t>
  </si>
  <si>
    <t xml:space="preserve">Reduzida necessidade hídrica </t>
  </si>
  <si>
    <t>Utilização de espécies vegetais não invasoras adaptadas ao solo, à exposição solar e de baixas necessidades hídricas</t>
  </si>
  <si>
    <t xml:space="preserve">Área de coberturas verdes </t>
  </si>
  <si>
    <t>ACVERDE</t>
  </si>
  <si>
    <t>Área, em m2, de coberturas verdes semi-intensivas construídas na área de implantação. Considera-se cobertura verde semi-intensiva uma cobertura com uma espessura de substrato superior a 15 cm e camada de substrato preferencial mineral ou com terra vegetal modificada. Pode ser composta por plantas herbáceas e arbustivas, com carga sobre a estrutura superior a 120 Kg/m² e inclinação máxima de 5%</t>
  </si>
  <si>
    <t>AIMPLANT</t>
  </si>
  <si>
    <t>Área, em m2, de implantação do edifício, correspondente à área de solo ocupada pelo edifício. Corresponde à área do solo contido no interior de um polígono fechado que compreende: i) o perímetro exterior do contacto do edifício com o solo; ii) o perímetro exterior das paredes exteriores dos pisos em cave</t>
  </si>
  <si>
    <t>APARCELA</t>
  </si>
  <si>
    <t>Área da parcela</t>
  </si>
  <si>
    <t>Área, em m2, de território delimitada física, jurídica ou topologicamente, não resultante de uma operação de loteamento, e que corresponde ao prédio ou conjunto de prédios, objeto de uma operação urbanística.</t>
  </si>
  <si>
    <t xml:space="preserve">RPDM Porto - Conforme 2.1 do Quadro Sinótico </t>
  </si>
  <si>
    <t xml:space="preserve">RPDM Porto - Conforme 3.1 do Quadro Sinótico </t>
  </si>
  <si>
    <t>Índice de impermeabilização máximo imposto pelo Regulamento do Plano Diretor Municipal do Porto consoante a qualificação do uso do solo da parcela em questão</t>
  </si>
  <si>
    <t>Precipitação num evento de tempo de retorno de 20 anos e um período de 20 min (L/m2) conforme Decreto Regulamentar n.º 23/95, de 23 de agosto</t>
  </si>
  <si>
    <t>Conforme Regulamento das Águas e Energia do Porto e Decreto Regulamentar n.º 23/95, de 23 de agosto</t>
  </si>
  <si>
    <t>Volume, em m3, de água precipitado na parcela durante um evento de precipitação intensa, considerando um evento de tempo de retorno de 20 anos e um período de 20 minutos.</t>
  </si>
  <si>
    <t>VPRECIP</t>
  </si>
  <si>
    <t>VRETIDO</t>
  </si>
  <si>
    <t>Volume, em m3, de água retido na parcela durante um evento de precipitação intensa, considerando um evento de tempo de retorno de 20 anos e um período de 20 minutos.</t>
  </si>
  <si>
    <t>Volume de água precipitado</t>
  </si>
  <si>
    <t>Volume de água retido</t>
  </si>
  <si>
    <t>Infiltração</t>
  </si>
  <si>
    <t>Fenómeno natural de passagem de água da superfície para o interior do solo permitindo a recarga dos lençóis freáticos;</t>
  </si>
  <si>
    <t xml:space="preserve">Reutilização de águas pluviais </t>
  </si>
  <si>
    <t>Utilização de águas pluviais na própria parcela para usos não potáveis e para benefício de indivíduos particulares ou da comunidade em geral</t>
  </si>
  <si>
    <t>Decisão 2000/532/CE da Comissão das comunidades europeias</t>
  </si>
  <si>
    <t>Fonte</t>
  </si>
  <si>
    <t>RCDPREP</t>
  </si>
  <si>
    <t>Protocolo de Gestão de Resíduos de Construção e Demolição da União Europeia</t>
  </si>
  <si>
    <t>CO2BIOGEN</t>
  </si>
  <si>
    <t>Regulamento Delegado (UE) 2023/2486</t>
  </si>
  <si>
    <t>Metodologia Low Carbon Building Initiative</t>
  </si>
  <si>
    <t>CO2INCORP</t>
  </si>
  <si>
    <t>P1-1A = 0 para RNi ≥ 0,68</t>
  </si>
  <si>
    <t>P1-1A = 10 para RNi ≤ 0,50</t>
  </si>
  <si>
    <t>RNi = Nic / Ni</t>
  </si>
  <si>
    <t>Documentação de apoio</t>
  </si>
  <si>
    <t>Certificado Energético do edifício e/ou Manual SCE (https://www.dgeg.gov.pt/media/k4wowzjg/manual-sce-05022023.pdf)</t>
  </si>
  <si>
    <t>Define-se como o rácio entre a necessidade de energia útil para aquecimento real (Nic) e a necessidade nominal de energia útil para aquecimento de referência (Ni). Aplica-se a edifícios cuja utilização dominante é de habitação.</t>
  </si>
  <si>
    <t>Racional do domínio</t>
  </si>
  <si>
    <t>Define-se como a relação entre os consumos energéticos provenientes de energia fóssil e os consumos de energia primária de referência para o edifício. Aplica-se a edifícios cuja utilização dominante é de comércio e/ou serviços.</t>
  </si>
  <si>
    <t xml:space="preserve">IEES = IEEfossil,S / IEEref,S
</t>
  </si>
  <si>
    <t>P1-1B = 0 para IEES ≥ 0,68</t>
  </si>
  <si>
    <t>P1-1B = 10 para IEES ≤ 0,50</t>
  </si>
  <si>
    <t>Pontuação da medida</t>
  </si>
  <si>
    <t>Define-se como o contributo de energia renovável aquele que se reflete no consumo de energia do edifício</t>
  </si>
  <si>
    <t>% REN</t>
  </si>
  <si>
    <t>P1-2 = 0 para %REN &lt; 30%</t>
  </si>
  <si>
    <t>P1-2 = 4 para %REN = 30%</t>
  </si>
  <si>
    <t>P1-2 = 10 para %REN ≥ 50%</t>
  </si>
  <si>
    <t>Define-se como a relação entre as necessidades nominais de energia primária previstas e de referência. Aplica-se a edifícios cuja utilização dominante é de habitação.</t>
  </si>
  <si>
    <t>Define-se como a relação entre os indicadores de eficiência energética do tipo S previsto, tendo em conta o contributo de fontes de energia renovável, e de referência. Aplica-se a edifícios cuja utilização dominante é de comércio e/ou serviços.</t>
  </si>
  <si>
    <t>P1-3A = 0 para RNT &lt; 0,4</t>
  </si>
  <si>
    <t>P1-3A = 4 para RNT = 0,4</t>
  </si>
  <si>
    <t>P1-3A = 10 para RNT ≤ 0,1</t>
  </si>
  <si>
    <t>P1-3B = 0 para RIEE &lt; 0,4</t>
  </si>
  <si>
    <t>P1-3B = 4 para RIEE = 0,4</t>
  </si>
  <si>
    <t>P1-3B = 10 para RIEE ≤ 0,1</t>
  </si>
  <si>
    <t>P1-4 = 0 para RenHab ≤ 0,54</t>
  </si>
  <si>
    <t>P1-4 = 10 para RenHab ≥ 1</t>
  </si>
  <si>
    <t>Define-se como a relação entre a energia primária total renovável para autoconsumo nos usos regulados do edifício e a energia primária total para o uso de AQS. 3- Aplica-se a edifícios cuja utilização dominante é habitação.</t>
  </si>
  <si>
    <t>Biodiversidade e infraestrutura verde</t>
  </si>
  <si>
    <t>P2-1 = 0 para RCONS &lt; 0,6</t>
  </si>
  <si>
    <t>P2-1 = 6 para RCONS = 0,6</t>
  </si>
  <si>
    <t>P2-1 = 10 para RCONS = 1</t>
  </si>
  <si>
    <t>Código Regulamentar do Município do Porto - Título II - Espaços Verdes e artigos relevantes</t>
  </si>
  <si>
    <t>P2-2 = 0 para RARB &lt; 0,2</t>
  </si>
  <si>
    <t>P2-2 = 2 para RARB = 0,2</t>
  </si>
  <si>
    <t>P2-2 = 10 para RARB ≥ 1</t>
  </si>
  <si>
    <r>
      <t xml:space="preserve">Define-se como o rácio entre a área arbórea ocupada pelos exemplares arbóreos introduzidos e a área potencial de arborização do logradouro. Assume-se que 30% da área do logradouro deverá ser dedicada a exemplares arbóreos. Se houve conservação associada à medida 2-2, a área conservada é tida em consideração. A introdução das espécies arbóreas deve ser feita de acordo com os artigos C-2/21º e C-2/22º do Código Regulamentar do Município do Porto e deverão ser sempre de espécies não invasoras. Para calcular a área ocupada por cada exemplar arbóreo assume-se uma copa circular e o crescimento expectável em 20 anos em contexto natural. A largura da copa em contexto urbano é 80% da largura da copa em contexto natural.
</t>
    </r>
    <r>
      <rPr>
        <b/>
        <i/>
        <sz val="11"/>
        <color theme="1"/>
        <rFont val="Calibri"/>
        <family val="2"/>
        <scheme val="minor"/>
      </rPr>
      <t>Racional da medida:</t>
    </r>
    <r>
      <rPr>
        <i/>
        <sz val="11"/>
        <color theme="1"/>
        <rFont val="Calibri"/>
        <family val="2"/>
        <scheme val="minor"/>
      </rPr>
      <t xml:space="preserve"> as árvores podem ser introduzidas de forma a contribuirem para a redução das necessidades de energia, redução dos fluxos de pico durante um evento de precipitação, promoção da biodiversidade. As árvores são também os sequestradores de carbono por excelência, contribuido tanto para a mitigação como para a adaptação às alterações climáticas.</t>
    </r>
  </si>
  <si>
    <t>Material recomendado:</t>
  </si>
  <si>
    <t>Sociedade Internacional de Arboricultura - https://www.isa-arbor.com/Publications
Artigo orientador - https://www.treesaregood.org/portals/0/docs/treecare/Evitando%20Danos%20%C3%A1s%20Arvores%20Durante%20Construcoes.pdf</t>
  </si>
  <si>
    <t>Rácio de conservação
RCONS
(%)</t>
  </si>
  <si>
    <t>PBIODIV = 0 para RBIODIV &lt; 0,2</t>
  </si>
  <si>
    <t>PBIODIV = 5 para RBIODIV ≥ 1</t>
  </si>
  <si>
    <t>PCONT = 3 para ICONT = SIM</t>
  </si>
  <si>
    <t>PCONT = 0 para ICONT = NÃO</t>
  </si>
  <si>
    <t>PESTRAT = 1 para IESTRAT = SIM</t>
  </si>
  <si>
    <t>PESTRAT = 0 para IESTRAT = NÃO</t>
  </si>
  <si>
    <t>PHIDRO = 1 para IHIDRO = SIM</t>
  </si>
  <si>
    <t>PHIDRO = 0 para IHIDRO = NÃO</t>
  </si>
  <si>
    <t>P2-2 = PBIODIV + PCONT + PESTRAT + PHIDRO</t>
  </si>
  <si>
    <t>P2-4 = 0 para RCVERDE = 0</t>
  </si>
  <si>
    <t>P2-4 = 10 para RCVERDE ≥ 1</t>
  </si>
  <si>
    <t>Sociedade Internacional de Arboricultura - https://www.isa-arbor.com/Publications</t>
  </si>
  <si>
    <t>Biodiversidade nas cidades: Guia Técnico - https://www.afd.fr/pt/ressources/biodiversidade-nas-cidades-guia-tecnico
Design for Biodiversity - A guidance document for development in London: https://www.lbp.org.uk/07library/design_for_biodiversity.pdf</t>
  </si>
  <si>
    <t>Área do logradouro (m2)</t>
  </si>
  <si>
    <t>Documentação de apoio legal</t>
  </si>
  <si>
    <t>Código Regulamentar do Município do Porto - Título II - Espaços Verdes e artigos relevantes
Regime jurídico aplicável ao controlo, à detenção, à introdução na natureza e ao repovoamento de espécies exóticas da flora e da fauna - Decreto-Lei nº 92/2019, de 10 de Julho</t>
  </si>
  <si>
    <t>P3-1 = 10 para RAPERM ≥ 30%</t>
  </si>
  <si>
    <t>P3-1 = 0 para RAPERM ≤ 0 %</t>
  </si>
  <si>
    <t>Área potencial de arborização = 0,3 * ALOGR - AarvCONS (m2)</t>
  </si>
  <si>
    <t>Área potencial = 0.7 * ALOGR (m2)</t>
  </si>
  <si>
    <t>Área potencial = 0,7 * AIMPLANT</t>
  </si>
  <si>
    <t>Área de cobertura verde (m2)</t>
  </si>
  <si>
    <t>largura expectável da copa em contexto natural (m)</t>
  </si>
  <si>
    <t>largura expectável da copa em contexto urbano (m)</t>
  </si>
  <si>
    <t>LcopaNAT</t>
  </si>
  <si>
    <t>Área ocupada pelo exemplar (m2)</t>
  </si>
  <si>
    <t xml:space="preserve"> Aarv</t>
  </si>
  <si>
    <t>Área permeável APERM (m2)</t>
  </si>
  <si>
    <t>Área da parcela (m2)</t>
  </si>
  <si>
    <t>Índice de Impermeabilização</t>
  </si>
  <si>
    <t>Aumento da área permeável RAPERM</t>
  </si>
  <si>
    <t>Volume de água retido (m3)</t>
  </si>
  <si>
    <t>No Porto, 51% das emissões de Gases de Efeito de Estufa (GEE) são provenientes dos edifícios. Pretende-se promover a construção de edifícios com necessidades quase nulas de energia (nZEB), garantir o conforto térmico, reduzir a pobreza energética e promover a descarbonização da cidade através da produção de energia renovável e redução das emissões de GEE associados ao edificado. Este domínio alinha as diretrizes europeias de desempenho energético dos edifícios com o Pacto do Porto para o Clima e os esforços da cidade na reabilitação do edificado municipal.</t>
  </si>
  <si>
    <t>Rácio de de volume retido (RRETIDO)</t>
  </si>
  <si>
    <t>Existe sistema de reutilização de águas pluviais na parcela (IREUTIL)?</t>
  </si>
  <si>
    <t>Pontuação associada à reutilização (PREUTIL)</t>
  </si>
  <si>
    <t>Existe sistema de infiltração da totalidade da água retida (IINFILT)?</t>
  </si>
  <si>
    <t>Pontuação associada à infiltração (PINFILT)?</t>
  </si>
  <si>
    <t>Projeto de arranjos exteriores com identificação do sistema de drenagem de águas pluviais, as opções de dimensionamento e o volume retido.</t>
  </si>
  <si>
    <t>Projeto de arranjos exteriores que permita identificar a área com coberto vegetal permeável da parcela</t>
  </si>
  <si>
    <t>https://www.aquamais.pt/</t>
  </si>
  <si>
    <t>APERM</t>
  </si>
  <si>
    <t>Área permeável</t>
  </si>
  <si>
    <t>Área, em m2, da parcela com coberto vegetal e infiltração natural da água</t>
  </si>
  <si>
    <t>Calcula-se como o rácio entre a área arbórea existente no terreno previamente a qualquer à execução da operação urbanística e a área arbórea conservada após a obra, tendo em conta apenas os exemplares arbóreos de espécies não invasoras.. Deve-se realizar o levantamento topográfico prévio às obras de edificação com identificação dos exemplares arbóreos existentes na parcela (número e espécie). Consideram-se, para além das espécies e exemplares a salvaguardar e proteger de acordo com a legislação vigente, quaisquer outros exemplares arbóreos de espécies autóctones e/ou exóticas não invasoras, desde que em bom estado fitossanitário. Para efeitos de cálculo, considera-se uma área de implantação para cada árvore para um período de crescimento de 20 anos, consoante o Plano de Arborização da Cidade do Porto (https://ambiente.cm-porto.pt/ambiente/plano-de-arborizacao).</t>
  </si>
  <si>
    <t>Levantamento e caracterização da vegetação existente, designadamente das espécies através do seu nome científico e vulgar e respetivos porte e estado fitossanitário e biomecânico + Planta de intervenção ao nível vegetal com sobreposição da proposta de implantação, indicando, diferenciadamente, os abates, transplantes, árvores a manter e novas plantações.</t>
  </si>
  <si>
    <t>Calcula-se pela rácio entre a área arbórea ocupada pelos exemplares arbóreos introduzidos e a área potencial de arborização do logradouro. Consideram-se, para além das espécies e exemplares a salvaguardar e proteger de acordo com a legislação vigente, quaisquer outros exemplares arbóreos de espécies autóctones e/ou exóticas não invasoras, desde que em bom estado fitossanitário. A introdução das espécies arbóreas deve ser feita de acordo com os artigos C-2/21º e C-2/22º do Código Regulamentar do Município do Porto. Para efeitos de cálculo, considera-se uma área de implantação de cada árvore para um período de crescimento de 20 anos, consoante o Plano de Arborização da Cidade do Porto (https://ambiente.cm-porto.pt/ambiente/plano-de-arborizacao). Deve ser preenchida a folha "Área arborizada"</t>
  </si>
  <si>
    <t>Rácio de área verde biodiversa (RBIODIV)
(%)</t>
  </si>
  <si>
    <r>
      <t>Define-se como a existência de uma área biodiversa, contínua, com diferentes estratos vegetativos e de baixa necessidade hídrica. Para esse efeito, considera-se área biodiversa a área do coberto vegetal onde se verifica a existência de mais de 15 espécies diferentes por m</t>
    </r>
    <r>
      <rPr>
        <vertAlign val="superscript"/>
        <sz val="11"/>
        <color theme="1" tint="0.34998626667073579"/>
        <rFont val="Helvetica Neue"/>
      </rPr>
      <t>2</t>
    </r>
    <r>
      <rPr>
        <sz val="11"/>
        <color theme="1" tint="0.34998626667073579"/>
        <rFont val="Helvetica Neue"/>
        <family val="2"/>
      </rPr>
      <t xml:space="preserve"> de gramíneas, arbustos, árvores e flores, todas não invasoras. É sujeito a majoração se:
1) se verificar a não fragmentação da área biodiversa em pelo menos 70% da sua dimensão; 2) se verificar a existência de distribuição de espécies vegetais ao longo de vários andares segundo um plano vertical, desde a vegetação mais baixa até às árvores mais altas; 3) se verificar a utilização de espécies vegetais adaptadas ao solo, à exposição solar e de baixas necessidades hídricas.
Este indicador tenta analisar o ecossistema criado e/ou existente na parcela e como o mesmo foi conservado e/ou melhorado. Deve ser tido em conta a </t>
    </r>
    <r>
      <rPr>
        <b/>
        <sz val="11"/>
        <color theme="1" tint="0.34998626667073579"/>
        <rFont val="Helvetica Neue"/>
      </rPr>
      <t>descrição detalhada</t>
    </r>
    <r>
      <rPr>
        <sz val="11"/>
        <color theme="1" tint="0.34998626667073579"/>
        <rFont val="Helvetica Neue"/>
        <family val="2"/>
      </rPr>
      <t xml:space="preserve"> e a operacionalização presentes na folha "Descrições técnicas".</t>
    </r>
  </si>
  <si>
    <t>Projeto de espaços exteriores, nomeadamente, arborizações, ajardinamentos e outros trabalhos relativos ao tratamento paisagístico e mobiliário urbano, com a especificação das quantidades e dos tipos de trabalhos a executar e onde se identifiquem as espécies de plantas utilizadas na área intervencionada. + Os diferentes passaportes fitossanitários das espécies vegetais introduzidas, caso aplicável nos termos do Decreto-Lei n.º 67/2020, de 15 de setembro, e/ou comprovativos de aquisição das espécies vegetais e sementes.</t>
  </si>
  <si>
    <t>Rácio de cobertura verde (RCVERDE)
(%)</t>
  </si>
  <si>
    <t>É avaliado a área da cobertura verde aplicada relativamente à área para cobertura verde disponível. Calcula-se como o rácio entre a área com coberturas verdes e 70% da área de implantação.Considera-se cobertura verde semi-intensiva uma cobertura com uma espessura de substrato superior a 15 cm e camada de substrato preferencial mineral ou com terra vegetal modificada. Pode ser composta por plantas herbáceas e arbustivas, com carga sobre a estrutura superior a 120 Kg/m² e inclinação máxima de 5%. Assim, é importante aplicar diferentes espécies e dimensionar o edifício para contar com as cargas das coberturas.</t>
  </si>
  <si>
    <t>Define-se como o aumento da área de coberto vegetal permeável para além do limite mínimo legal estabelecido pelo RPDMP. Considera-se a área permeável como a área, em m2, da parcela com coberto vegetal e infiltração natural da água</t>
  </si>
  <si>
    <t>Define-se como a capacidade do terreno em reter as águas pluviais durante um evento de precipitação intensa, considerando um evento de tempo de retorno de 20 anos e um período de 20 minutos, conforme Decreto Regulamentar n.º 23/95, de 23 de agosto,
São avaliadas três variáveis: a) Rácio de volume retido (RRETIDO); b) Indicador de infiltração (IINFILT); c) Indicador de reutilização (IREUTIL).</t>
  </si>
  <si>
    <r>
      <t xml:space="preserve">Define-se como o rácio entre a quantidade de Resíduos de Construção e Demolição (RCDs) preparados e tratados e a quantidade de RCDs produzidos. Para efeitos de avaliação desta medida, aplicam-se as definições e normas constantes do Regulamento Delegado (UE) 2023/2486, que estabelece os critérios técnicos de avaliação para determinar em que condições uma atividade económica é qualificada como contribuindo substancialmente para a transição para uma economia circular (Taxonomia Europeia), nomeadamente a informação patente no ponto 3.1 do Anexo II do referido documento. Pelo menos 80 % (em massa, expressa em quilogramas) dos resíduos de construção e demolição não perigosos produzidos no estaleiro são preparados para reutilização ou reciclagem, excluindo operações de enchimento. Excluem-se do cálculo os materiais naturais referidos na categoria 17 05 04 da lista europeia de resíduos estabelecida pela Decisão 2000/532/CE. O operador da atividade demonstra a conformidade com o limiar de 80 % através da comunicação de informações sobre o indicador 2.2 do quadro Level(s), utilizando o formato de comunicação de informações de nível 2 para os diferentes fluxos de resíduos.
Ver </t>
    </r>
    <r>
      <rPr>
        <b/>
        <sz val="11"/>
        <color theme="1" tint="0.34998626667073579"/>
        <rFont val="Helvetica Neue"/>
      </rPr>
      <t>descrição detalhada</t>
    </r>
    <r>
      <rPr>
        <sz val="11"/>
        <color theme="1" tint="0.34998626667073579"/>
        <rFont val="Helvetica Neue"/>
        <family val="2"/>
      </rPr>
      <t xml:space="preserve"> na folha "Descrições técnicas", onde pode encontrar as ligações para os ficheiros e para os documentos legais relevantes.</t>
    </r>
  </si>
  <si>
    <t>Plano de Gestão de Resíduos de Construção e Demolição elaborado de acordo com o Protocolo de Gestão de Resíduos de Construção e Demolição da EU e respetivos comprovativos dos dados apresentados. Recomenda-se o uso da folha Excel relativa ao indicador 2.2 do quadro Level(s) - Construction and Demolition Waste (CDW) and materials excel template: for estimating (Level 2) and recording (Level 3) amounts and types of CDW and their final destinations (version 1.1), publicado na internet, no sítio no sítio institucional da European Commission Product Bureau, disponível em: https://susproc.jrc.ec.europa.eu/product-bureau/product-groups/412/documents</t>
  </si>
  <si>
    <r>
      <t xml:space="preserve">Define-se como o rácio entre a quantidade de matérias-primas primárias (RMATPRIM) utilizada e a quantidade total de materiais utilizados, permitindo assim avaliar a quantidade de matérias-primas secundárias utilizadas. O operador da atividade assegura que as três principais categorias de materiais utilizados na construção do edifício, ordenadas de acordo com a massa (expressa em quilogramas), cumprem as quantidades totais máximas de matérias-primas primárias utilizadas patentes na </t>
    </r>
    <r>
      <rPr>
        <b/>
        <sz val="11"/>
        <color theme="1" tint="0.34998626667073579"/>
        <rFont val="Helvetica Neue"/>
      </rPr>
      <t>descrição detalhada</t>
    </r>
    <r>
      <rPr>
        <sz val="11"/>
        <color theme="1" tint="0.34998626667073579"/>
        <rFont val="Helvetica Neue"/>
        <family val="2"/>
      </rPr>
      <t xml:space="preserve"> da medida, na folha "Descrições técnicas". Os limiares são calculados subtraindo a matéria-prima secundária à quantidade total de cada categoria de materiais utilizados nas obras, medida em massa (expressa em quilogramas). Caso as informações sobre o conteúdo reciclado de um produto de construção não estejam disponíveis, este deve ser contabilizado como incluindo 100 % de matérias-primas primárias. Para respeitar a hierarquia dos resíduos e, desse modo, privilegiar a reutilização em relação à reciclagem, os produtos de construção reutilizados, incluindo os que contêm matérias não residuais retransformadas no local, devem ser contabilizados como não contendo matérias-primas primárias. O cumprimento desta medida é demonstrado através da comunicação de informações sobre o indicador 2.1 do quadro Level(s). Para avaliação desta medida, aplicam-se as definições e normas constantes do Regulamento Delegado (UE) 2023/2486, que estabelece os critérios técnicos de avaliação para determinar em que condições uma atividade económica é qualificada como contribuindo substancialmente para a transição para uma economia circular (Taxonomia Europeia), nomeadamente a informação patente no ponto 3.1 do Anexo II do referido documento, alínea 4. Ver </t>
    </r>
    <r>
      <rPr>
        <b/>
        <sz val="11"/>
        <color theme="1" tint="0.34998626667073579"/>
        <rFont val="Helvetica Neue"/>
      </rPr>
      <t>descrição detalhada</t>
    </r>
    <r>
      <rPr>
        <sz val="11"/>
        <color theme="1" tint="0.34998626667073579"/>
        <rFont val="Helvetica Neue"/>
        <family val="2"/>
      </rPr>
      <t xml:space="preserve"> na folha "Descrições técnicas", onde pode encontrar as ligações para os ficheiros e para os documentos legais relevantes.</t>
    </r>
  </si>
  <si>
    <t>Mapa de Quantidades, Materiais e tempos de vida. Como referência, recomenda-se a utilização da folha de cálculo Excel disponível na internet, no sítio institucional da European Commission Product Bureau: Bill of Quantities, materials and lifespans excel template: for estimating (Level 2) and recording (Level 3) purchases of material quantities and costs (version 1.2), disponível em: https://susproc.jrc.ec.europa.eu/product-bureau/product-groups/412/documents .</t>
  </si>
  <si>
    <t>CIRCuIT Academic Publications: https://www.circuit-project.eu/post/all-circuit-academic-publications
CIRCuIT examples of urban mining: https://report.circuit-project.eu/chapter/increasing-the-reuse-recycling-building-materials
CityLoops CDW Publications: http://cityloops.eu/construction-demolition-waste
Exemplo de 100% betão reciclado: http://cityloops.eu/construction-demolition-waste/recycling-concrete
Boas práticas para reduzir, reutilizar e reciclar RCDs: https://www.epa.gov/smm/best-practices-reducing-reusing-and-recycling-construction-and-demolition-materials</t>
  </si>
  <si>
    <t>Análise de Ciclo de Vida do edifício segundo a norma internacional EN 15978:2011 e EN 15804:2012+A2:2019, onde permita aferir a quantidade de Carbono Biogénico.</t>
  </si>
  <si>
    <t>Análise de Ciclo de Vida do edifício segundo a norma internacional EN 15978:2011 e EN 15804:2012+A2:2019, onde permita aferir a quantidade de Carbono Incorporado.</t>
  </si>
  <si>
    <t>PRETIDO = 0 para RRETIDO ≤ 0</t>
  </si>
  <si>
    <t>PRETIDO = 8 para RRETIDO ≥ 1</t>
  </si>
  <si>
    <t>PINFILT = 1 para IINFILT = SIM</t>
  </si>
  <si>
    <t>PINFILT = 0 para IINFILT = NÃO</t>
  </si>
  <si>
    <t>PREUTIL = 1 para IREUTIL = SIM</t>
  </si>
  <si>
    <t>PREUTIL = 0 para IREUTIL = NÃO</t>
  </si>
  <si>
    <t>Decreto Regulamentar n.º 23/95, de 23 de agosto
Regulamento dos Sistemas Públicos e Predias de Distribuição de água e Drenagem de Águas de Residuais Domésticas dos SMAS
https://aguasdoporto.pt/files/uploads/cms/adp/1/files/1636369464-2cYOPP0A8j.pdf
Regulamento Geral dos Sistemas Públicos e Prediais de Distribuição de Água e de
Drenagem de Águas Residuais:
https://aguasdoporto.pt/files/uploads/cms/adp/1/files/416/regulamento-geral.pdf</t>
  </si>
  <si>
    <r>
      <t>I</t>
    </r>
    <r>
      <rPr>
        <i/>
        <vertAlign val="subscript"/>
        <sz val="16"/>
        <color theme="1"/>
        <rFont val="Calibri"/>
        <family val="2"/>
        <scheme val="minor"/>
      </rPr>
      <t>INFILT</t>
    </r>
  </si>
  <si>
    <r>
      <t>I</t>
    </r>
    <r>
      <rPr>
        <i/>
        <vertAlign val="subscript"/>
        <sz val="16"/>
        <color theme="1"/>
        <rFont val="Calibri"/>
        <family val="2"/>
        <scheme val="minor"/>
      </rPr>
      <t>REUTIL</t>
    </r>
  </si>
  <si>
    <r>
      <t>I</t>
    </r>
    <r>
      <rPr>
        <i/>
        <vertAlign val="subscript"/>
        <sz val="16"/>
        <color theme="1"/>
        <rFont val="Calibri"/>
        <family val="2"/>
        <scheme val="minor"/>
      </rPr>
      <t>CONT</t>
    </r>
  </si>
  <si>
    <r>
      <t>I</t>
    </r>
    <r>
      <rPr>
        <i/>
        <vertAlign val="subscript"/>
        <sz val="16"/>
        <color theme="1"/>
        <rFont val="Calibri"/>
        <family val="2"/>
        <scheme val="minor"/>
      </rPr>
      <t>ESTRAT</t>
    </r>
  </si>
  <si>
    <r>
      <t>I</t>
    </r>
    <r>
      <rPr>
        <i/>
        <vertAlign val="subscript"/>
        <sz val="16"/>
        <color theme="1"/>
        <rFont val="Calibri"/>
        <family val="2"/>
        <scheme val="minor"/>
      </rPr>
      <t>HIDRO</t>
    </r>
  </si>
  <si>
    <t xml:space="preserve">
Deverá ser preenchida a folha "Área arborizada"</t>
  </si>
  <si>
    <t xml:space="preserve">
Deverão ser preenchidas as folhas "Diagnóstico Arbóreo" e "Área arbórea conservada"</t>
  </si>
  <si>
    <t>Guias Técnicos da Associação Nacional de Coberturas Verdes: https://www.greenroofs.pt/pt/journal/publicacoes/guias-tecnicos
FLL GreenRoofs Guidelines: https://commons.bcit.ca/greenroof/files/2019/01/FLL_greenroofguidelines_2018.pdf
BAUDER - Green Roofs: https://app.2050-materials.com/media/certificates/9-Green-Roofs-Bauder-Technical-Design-Guide_zRxAObY.pdf</t>
  </si>
  <si>
    <t>Guía Básica de Diseño de Sistemas de Gestión Sostenible de Aguas Pluviales en Zonas Verdes y otros Espacios Libres (Guía de Madrid): https://www.madrid.es/UnidadesDescentralizadas/Agua/TODOSOBREAGUA(Informaci%C3%B3nSobreAgua)/SistemaUrbanosDrenajeSostenible/Gu%C3%ADa%20b%C3%A1sica%20de%20dise%C3%B1o%20sistemas%20de%20gesti%C3%B3n%20sostenible%20de%20aguas%20pluviales.pdf
Sustainable Drainage Systems - CIRIA - The SuDS Manual (https://www.scotsnet.org.uk/__data/assets/pdf_file/0023/51764/CIRIA-report-C753-the-SuDS-manual-v6.pdf)
World Bank. 2021. A Catalogue of Nature-Based Solutions for Urban Resilience. © World Bank, Washington, DC. http://hdl.handle.net/10986/36507 
Sustainable drainage systems (SuDS) adoption manual: https://www.anglianwater.co.uk/siteassets/developers/drainage-services/aws-suds-guide-sm.pdf</t>
  </si>
  <si>
    <t>Regulamento do Plano Diretor Municipal do Porto</t>
  </si>
  <si>
    <t>Pontuação
P 3-1</t>
  </si>
  <si>
    <t>Pontuação
P 3-2</t>
  </si>
  <si>
    <t>Pontuação
P 3-3</t>
  </si>
  <si>
    <t>Protocolo para a Gestão dos Resíduos de Construção e Demolição da EU: https://op.europa.eu/en/publication-detail/-/publication/d63d5a8f-64e8-11ef-a8ba-01aa75ed71a1/language-en
Regulamento Delegado (EU) 2023/2486 (Taxonomia Europeia):
https://eur-lex.europa.eu/legal-content/PT/TXT/PDF/?uri=OJ:L_202302486</t>
  </si>
  <si>
    <t>Metodologia Low Carbon Building Initiative: 
https://www.lowcarbonbuilding.com/wp-content/uploads/2024/03/2024-01-25-lcbi-certification-scheme-new-construction-v10-a.pdf
Building Materials and the Climate: Constructing a New Future:
https://wedocs.unep.org/handle/20.500.11822/43293</t>
  </si>
  <si>
    <t>Redução de Taxa de Manutenção de Infraestruturas</t>
  </si>
  <si>
    <t>Indicador de eficiência energética fóssil do tipo S</t>
  </si>
  <si>
    <t>Conforme definido no Manual SCE aprovado nos termos do artigo 4.º do Decreto-Lei n.º 101-D/2020, de 07 de Dezembro</t>
  </si>
  <si>
    <t>Rácio Categoria 2
(%)</t>
  </si>
  <si>
    <t>Máximo Categoria 2
(%)</t>
  </si>
  <si>
    <t>Mínimo Taxonomia Europeia Categoria 2 
(%)</t>
  </si>
  <si>
    <t>Pontuação 
P2-3</t>
  </si>
  <si>
    <t>Pontuação
P2-2</t>
  </si>
  <si>
    <t>Pontuação
P2-1</t>
  </si>
  <si>
    <t>Pontuação
P2-4</t>
  </si>
  <si>
    <t>Pontuação
P1-1A</t>
  </si>
  <si>
    <t>Pontuação
P1-1B</t>
  </si>
  <si>
    <t>Pontuação
P1-2</t>
  </si>
  <si>
    <t>Pontuação
P1-3A</t>
  </si>
  <si>
    <t>Pontuação
P1-3B</t>
  </si>
  <si>
    <t>Pontuação
P1-4</t>
  </si>
  <si>
    <t>Pontuação
P4-1</t>
  </si>
  <si>
    <t>Pontuação categoria 1
PCAT1</t>
  </si>
  <si>
    <t>Pontuação categoria 2
PCAT2</t>
  </si>
  <si>
    <t>Pontuação categoria 3
PCAT3</t>
  </si>
  <si>
    <t>Rácio Categoria 3
(%)</t>
  </si>
  <si>
    <t>Máximo Categoria 3
(%)</t>
  </si>
  <si>
    <t>Mínimo Taxonomia Europeia Categoria 3 
(%)</t>
  </si>
  <si>
    <t>Pontuação
P4-3</t>
  </si>
  <si>
    <t>Pontuação
P4-4</t>
  </si>
  <si>
    <t>ICONT</t>
  </si>
  <si>
    <t>IESTRAT</t>
  </si>
  <si>
    <t>IHIDRO</t>
  </si>
  <si>
    <t>Pontuação do domínio
PENERGIA</t>
  </si>
  <si>
    <t>Pontuação do domínio
PEC+CO2</t>
  </si>
  <si>
    <t>Pontuação do domínio
PBIO+VERDE</t>
  </si>
  <si>
    <t>Pontuação do domínio
PH20+SUDS</t>
  </si>
  <si>
    <t>IINFILT</t>
  </si>
  <si>
    <t>IREUTIL</t>
  </si>
  <si>
    <t>QRCDPROD</t>
  </si>
  <si>
    <t>Quantidade, expressa em quilogramas, de resíduos de construção e demolição não perigosos produzidos em conformidade com a legislação da União em matéria de resíduos e com a lista de controlo completa do Protocolo de Gestão de Resíduos de Construção e Demolição da UE, nomeadamente através do recurso a sistemas de triagem e auditorias de pré-demolição. Excluem-se do cálculo os materiais naturais referidos na categoria 17 05 04 da Lista Europeia de Resíduos estabelecida pela Decisão 2000/532/CE.</t>
  </si>
  <si>
    <t>Quantidade de Resíduos de Construção e Demolição produzidos</t>
  </si>
  <si>
    <t>Quantidade, expressa em quilogramas, de resíduos de construção e demolição não perigosos preparados e tratados em conformidade com a legislação da União em matéria de resíduos e com a lista de controlo completa do Protocolo de Gestão de Resíduos de Construção e Demolição da UE, nomeadamente através do recurso a sistemas de triagem e auditorias de pré-demolição. Excluem-se do cálculo os materiais naturais referidos na categoria 17 05 04 da Lista Europeia de Resíduos estabelecida pela Decisão 2000/532/CE</t>
  </si>
  <si>
    <t>Quantidade de Resíduos de Construção e Demolição preparados</t>
  </si>
  <si>
    <t>Q(i)MATPRIM</t>
  </si>
  <si>
    <t>Quantidade, expressa em quilogramas, de matérias-primas primárias utilizadas na construção do edifício associada à categoria de índice i</t>
  </si>
  <si>
    <t>Q(i)MATTOTAL</t>
  </si>
  <si>
    <t>Quantidade total, expressa em quilogramas, de materiais utilizados na construção do edifício associada à categoria de índice i</t>
  </si>
  <si>
    <t>Quantidade de carbono biogénico armazenado pelos materiais de base biológica no edifício, medida para a área de referência.</t>
  </si>
  <si>
    <t xml:space="preserve">As emissões de Gases de Efeito de Estufa, fósseis e uso do solo e alterações de uso do solo (LULUC), ao longo de todo o ciclo de vida dos elementos de construção, medidos para a área de referência ao longo de 50 anos. </t>
  </si>
  <si>
    <t>O setor da construção tem um impacto significativo nos vários setores da economia, nos empregos locais e na qualidade de vida. Requer elevadas quantidades de recursos, sendo responsável por cerca de 50% de todos os materiais extraídos e pela produção de mais de 35%  todos os resíduos da União Europeia. As emissões de Gases de Efeito de Estufa associadas à extração de matérias-primas, produção dos materiais e produtos de construção e construção e renovação dos edifícios são estimadas entre 5 a 12% das emissões totais nacionais. Maior eficiência material poderia reduzir estas emissões em 80%.</t>
  </si>
  <si>
    <t>Decisão 2000/532/CE da Comissão das comunidades europeias
Protocolo de Gestão de Resíduos de Construção e Demolição da União Europeia
Regulamento Delegado (UE) 2023/2486</t>
  </si>
  <si>
    <r>
      <rPr>
        <b/>
        <sz val="18"/>
        <rFont val="Calibri"/>
        <family val="2"/>
        <scheme val="minor"/>
      </rPr>
      <t>1-1A</t>
    </r>
    <r>
      <rPr>
        <b/>
        <sz val="16"/>
        <rFont val="Calibri"/>
        <family val="2"/>
        <scheme val="minor"/>
      </rPr>
      <t xml:space="preserve"> </t>
    </r>
    <r>
      <rPr>
        <sz val="16"/>
        <rFont val="Calibri"/>
        <family val="2"/>
        <scheme val="minor"/>
      </rPr>
      <t>Necessidades de energia para aquecimento</t>
    </r>
  </si>
  <si>
    <r>
      <rPr>
        <b/>
        <sz val="18"/>
        <rFont val="Calibri"/>
        <family val="2"/>
        <scheme val="minor"/>
      </rPr>
      <t>1-1B</t>
    </r>
    <r>
      <rPr>
        <b/>
        <sz val="16"/>
        <rFont val="Calibri"/>
        <family val="2"/>
        <scheme val="minor"/>
      </rPr>
      <t xml:space="preserve"> </t>
    </r>
    <r>
      <rPr>
        <sz val="16"/>
        <rFont val="Calibri"/>
        <family val="2"/>
        <scheme val="minor"/>
      </rPr>
      <t>Indicador de Eficiência Energética de Consumos de tipo S</t>
    </r>
  </si>
  <si>
    <r>
      <rPr>
        <b/>
        <sz val="18"/>
        <rFont val="Calibri"/>
        <family val="2"/>
        <scheme val="minor"/>
      </rPr>
      <t>1-2</t>
    </r>
    <r>
      <rPr>
        <b/>
        <sz val="16"/>
        <rFont val="Calibri"/>
        <family val="2"/>
        <scheme val="minor"/>
      </rPr>
      <t xml:space="preserve"> </t>
    </r>
    <r>
      <rPr>
        <sz val="16"/>
        <rFont val="Calibri"/>
        <family val="2"/>
        <scheme val="minor"/>
      </rPr>
      <t>Contributo de energia renovável para autoconsumo</t>
    </r>
  </si>
  <si>
    <r>
      <rPr>
        <b/>
        <sz val="18"/>
        <rFont val="Calibri"/>
        <family val="2"/>
        <scheme val="minor"/>
      </rPr>
      <t>1-3A</t>
    </r>
    <r>
      <rPr>
        <b/>
        <sz val="16"/>
        <rFont val="Calibri"/>
        <family val="2"/>
        <scheme val="minor"/>
      </rPr>
      <t xml:space="preserve"> </t>
    </r>
    <r>
      <rPr>
        <sz val="16"/>
        <rFont val="Calibri"/>
        <family val="2"/>
        <scheme val="minor"/>
      </rPr>
      <t>Rácio de classe energética em edifícios de habitação</t>
    </r>
  </si>
  <si>
    <r>
      <rPr>
        <b/>
        <sz val="18"/>
        <rFont val="Calibri"/>
        <family val="2"/>
        <scheme val="minor"/>
      </rPr>
      <t>1-3B</t>
    </r>
    <r>
      <rPr>
        <b/>
        <sz val="16"/>
        <rFont val="Calibri"/>
        <family val="2"/>
        <scheme val="minor"/>
      </rPr>
      <t xml:space="preserve"> </t>
    </r>
    <r>
      <rPr>
        <sz val="16"/>
        <rFont val="Calibri"/>
        <family val="2"/>
        <scheme val="minor"/>
      </rPr>
      <t>Rácio de classe energética em edifícios de comércio e serviços</t>
    </r>
  </si>
  <si>
    <r>
      <rPr>
        <b/>
        <sz val="18"/>
        <rFont val="Calibri"/>
        <family val="2"/>
        <scheme val="minor"/>
      </rPr>
      <t>1-4</t>
    </r>
    <r>
      <rPr>
        <b/>
        <sz val="16"/>
        <rFont val="Calibri"/>
        <family val="2"/>
        <scheme val="minor"/>
      </rPr>
      <t xml:space="preserve"> </t>
    </r>
    <r>
      <rPr>
        <sz val="16"/>
        <rFont val="Calibri"/>
        <family val="2"/>
        <scheme val="minor"/>
      </rPr>
      <t>Indicador de energia primária renovável em edifícios de habitação</t>
    </r>
  </si>
  <si>
    <r>
      <rPr>
        <b/>
        <sz val="18"/>
        <rFont val="Calibri"/>
        <family val="2"/>
        <scheme val="minor"/>
      </rPr>
      <t xml:space="preserve">2-1 </t>
    </r>
    <r>
      <rPr>
        <sz val="16"/>
        <rFont val="Calibri"/>
        <family val="2"/>
        <scheme val="minor"/>
      </rPr>
      <t>Conservação de exemplares arbóreos</t>
    </r>
  </si>
  <si>
    <r>
      <rPr>
        <b/>
        <sz val="18"/>
        <rFont val="Calibri"/>
        <family val="2"/>
        <scheme val="minor"/>
      </rPr>
      <t>2-2</t>
    </r>
    <r>
      <rPr>
        <b/>
        <sz val="16"/>
        <rFont val="Calibri"/>
        <family val="2"/>
        <scheme val="minor"/>
      </rPr>
      <t xml:space="preserve"> </t>
    </r>
    <r>
      <rPr>
        <sz val="16"/>
        <rFont val="Calibri"/>
        <family val="2"/>
        <scheme val="minor"/>
      </rPr>
      <t>Introdução de exemplares arbóreos</t>
    </r>
  </si>
  <si>
    <r>
      <rPr>
        <b/>
        <sz val="18"/>
        <rFont val="Calibri"/>
        <family val="2"/>
        <scheme val="minor"/>
      </rPr>
      <t>2-3</t>
    </r>
    <r>
      <rPr>
        <sz val="18"/>
        <rFont val="Calibri"/>
        <family val="2"/>
        <scheme val="minor"/>
      </rPr>
      <t xml:space="preserve"> </t>
    </r>
    <r>
      <rPr>
        <sz val="16"/>
        <rFont val="Calibri"/>
        <family val="2"/>
        <scheme val="minor"/>
      </rPr>
      <t>Área verde biodiversa e multifuncional e baixa necessidade hídrica</t>
    </r>
  </si>
  <si>
    <r>
      <t xml:space="preserve">Define-se como a existência de uma área biodiversa, contínua, com diferentes estratos vegetativos e de baixa necessidade hídrica, avaliada em quatro variáveis:
a) Rácio entre a área verde biodiversa e a área do logradouro (RBIODIV);
b) Indicador de continuidade (ICONT);
c) Indicador de estratificação (IESTRAT);
d) Indicador de reduzida necessidade hídrica (IHIDRO)
Considera-se que 70% da área do logradouro tem potencial de receber uma área verde biodiversa. Esta percentagem inclui a área arbórea. Os exemplares arbustivos e herbáceos a introduzir devem, sempre que possível, pertencer a espécies vivazes adaptadas às condições edafoclimáticas locais e seguir as orientações patentes nos artigos C-2/24º e C-2/25º  do Código Regulamentar do Município do Porto. No caso de ser prevista uma área de cultivo ao nível do solo, a mesma deve seguir o disposto no regulamento do Projeto ‘Horta à Porta - Hortas Biológicas da Região do Porto’, desenvolvido em parceria com a LIPOR. 
</t>
    </r>
    <r>
      <rPr>
        <b/>
        <i/>
        <sz val="11"/>
        <color theme="1"/>
        <rFont val="Calibri"/>
        <family val="2"/>
        <scheme val="minor"/>
      </rPr>
      <t xml:space="preserve">Racional da medida: </t>
    </r>
    <r>
      <rPr>
        <i/>
        <sz val="11"/>
        <color theme="1"/>
        <rFont val="Calibri"/>
        <family val="2"/>
        <scheme val="minor"/>
      </rPr>
      <t>Em oposição à utilização de relvados, pretende-se promover a criação, na área do logradouro, de um coberto vegetal biodiverso, contínuo, com diferentes estratos e com a utilização de espécies adaptadas às condições edafoclimáticas locais. Neste sentido, pretende-se reduzir o consumo de água, promover a biodiversidade local e desenvolver verdadeiros corredores de biodiversidade intra e interparcelas. 
Esta medida tenta analisar o ecossistema criado e/ou existente na parcela e como o mesmo foi conservado e/ou melhorado.</t>
    </r>
    <r>
      <rPr>
        <sz val="11"/>
        <color theme="1"/>
        <rFont val="Calibri"/>
        <family val="2"/>
        <scheme val="minor"/>
      </rPr>
      <t xml:space="preserve"> </t>
    </r>
    <r>
      <rPr>
        <i/>
        <sz val="11"/>
        <color theme="1"/>
        <rFont val="Calibri"/>
        <family val="2"/>
        <scheme val="minor"/>
      </rPr>
      <t>OS RELVADOS NÃO SÃO PONTUADOS, MAS SIM OS PRADOS.</t>
    </r>
  </si>
  <si>
    <r>
      <rPr>
        <sz val="11"/>
        <rFont val="Calibri"/>
        <family val="2"/>
        <scheme val="minor"/>
      </rPr>
      <t>Define-se como o rácio entre a área com coberturas verdes e 70% da área de implantação. Assume-se que 30% da área de implantação deverá ser destinada a infraestruturas e/ou acessos. As áreas de cobertura das caves são consideradas como potenciais áreas de cobertura verde, uma vez que correspondem aos parâmetros definidos. Sã</t>
    </r>
    <r>
      <rPr>
        <sz val="11"/>
        <color theme="1"/>
        <rFont val="Calibri"/>
        <family val="2"/>
        <scheme val="minor"/>
      </rPr>
      <t xml:space="preserve">o contabilizadas as coberturas verdes com uma espessura de substrato superior a 15 cm e camada de substrato preferencial mineral ou com terra vegetal modificada. Deve ser composta por plantas herbáceas, arbustivas e arbóreas, com carga sobre a estrutura superior a 120 Kg/m² e inclinação máxima de 5%.
</t>
    </r>
    <r>
      <rPr>
        <b/>
        <i/>
        <sz val="11"/>
        <color theme="1"/>
        <rFont val="Calibri"/>
        <family val="2"/>
        <scheme val="minor"/>
      </rPr>
      <t>Racional da medida:</t>
    </r>
    <r>
      <rPr>
        <i/>
        <sz val="11"/>
        <color theme="1"/>
        <rFont val="Calibri"/>
        <family val="2"/>
        <scheme val="minor"/>
      </rPr>
      <t xml:space="preserve"> a colocação de coberturas verdes tem três efeitos importantes na cidade: a redução do efeito da ilha de calor urbano, atraso do escorrimento de águas pluviais e promoção da biodiversidade. Assim, é importante aplicar diferentes espécies e dimensionar o edifício para contar com as cargas das coberturas</t>
    </r>
  </si>
  <si>
    <r>
      <rPr>
        <b/>
        <sz val="18"/>
        <rFont val="Calibri"/>
        <family val="2"/>
        <scheme val="minor"/>
      </rPr>
      <t>3-1</t>
    </r>
    <r>
      <rPr>
        <sz val="10"/>
        <rFont val="Calibri"/>
        <family val="2"/>
        <scheme val="minor"/>
      </rPr>
      <t xml:space="preserve"> </t>
    </r>
    <r>
      <rPr>
        <sz val="16"/>
        <rFont val="Calibri"/>
        <family val="2"/>
        <scheme val="minor"/>
      </rPr>
      <t>Aumento da área permeável</t>
    </r>
  </si>
  <si>
    <r>
      <rPr>
        <b/>
        <sz val="18"/>
        <rFont val="Calibri"/>
        <family val="2"/>
        <scheme val="minor"/>
      </rPr>
      <t>3-2</t>
    </r>
    <r>
      <rPr>
        <sz val="16"/>
        <rFont val="Calibri"/>
        <family val="2"/>
        <scheme val="minor"/>
      </rPr>
      <t xml:space="preserve"> Sistema de drenagem de águas pluviais sustentável</t>
    </r>
  </si>
  <si>
    <r>
      <rPr>
        <sz val="18"/>
        <rFont val="Calibri"/>
        <family val="2"/>
        <scheme val="minor"/>
      </rPr>
      <t xml:space="preserve">4.3. </t>
    </r>
    <r>
      <rPr>
        <sz val="10"/>
        <rFont val="Calibri"/>
        <family val="2"/>
        <scheme val="minor"/>
      </rPr>
      <t>Carbono Biogénico</t>
    </r>
  </si>
  <si>
    <r>
      <rPr>
        <sz val="18"/>
        <rFont val="Calibri"/>
        <family val="2"/>
        <scheme val="minor"/>
      </rPr>
      <t xml:space="preserve">4.4. </t>
    </r>
    <r>
      <rPr>
        <sz val="10"/>
        <rFont val="Calibri"/>
        <family val="2"/>
        <scheme val="minor"/>
      </rPr>
      <t>Carbono incorporado (Embodied Carbon)</t>
    </r>
  </si>
  <si>
    <r>
      <t xml:space="preserve">Os serviços dos ecossistemas providenciados pelas plantas ultrapassam as capacidades técnicas humanas em termos de custo-benefício. Serviços como a regulação térmica </t>
    </r>
    <r>
      <rPr>
        <i/>
        <sz val="11"/>
        <rFont val="Calibri"/>
        <family val="2"/>
        <scheme val="minor"/>
      </rPr>
      <t>indoor</t>
    </r>
    <r>
      <rPr>
        <sz val="11"/>
        <rFont val="Calibri"/>
        <family val="2"/>
        <scheme val="minor"/>
      </rPr>
      <t xml:space="preserve"> e </t>
    </r>
    <r>
      <rPr>
        <i/>
        <sz val="11"/>
        <rFont val="Calibri"/>
        <family val="2"/>
        <scheme val="minor"/>
      </rPr>
      <t>outdoor</t>
    </r>
    <r>
      <rPr>
        <sz val="11"/>
        <rFont val="Calibri"/>
        <family val="2"/>
        <scheme val="minor"/>
      </rPr>
      <t>, a gestão da precipitação e abrandamento da velocidade de escoamento das águas pluviais, a polinização das culturas alimentares ou a descontaminação e filtração da água são serviços desenhados pela natureza ao longo de milhares de milhões de anos. A preservação e promoção da biodiversidade e a utilização dos serviços dos ecossistemas por toda a cidade tem sido um dos grandes objetivos do Município do Porto na sua atuação ambiental, plasmado na Estratégia Municipal de Ambiente, na Estratégia Municipal de Adaptação às Alterações Climáticas e na futura Estratégia Municipal para a Biodiversidade. Este domínio pretende estimular projetistas, arquitetos, engenheiros e promotores imobiliários a contribuirem para a melhoria do espaço urbano e para a criação de corredores verdes, transformando o Porto numa cidade amiga das pessoas e do planeta, e usando os sistemas naturais para benefício da cidade e dos seus habitantes.</t>
    </r>
  </si>
  <si>
    <r>
      <t xml:space="preserve">Define-se como o rácio entre a área arbórea existente no terreno previamente à execução da operação urbanística e a área arbórea conservada após a obra. Para calcular a área ocupada por cada exemplar arbóreo assume-se uma copa circular e o crescimento expectável em 20 anos em contexto natural. A largura da copa em contexto urbano é 80% da largura da copa em contexto natural.
</t>
    </r>
    <r>
      <rPr>
        <b/>
        <i/>
        <sz val="11"/>
        <rFont val="Calibri"/>
        <family val="2"/>
        <scheme val="minor"/>
      </rPr>
      <t>Racional da medida</t>
    </r>
    <r>
      <rPr>
        <i/>
        <sz val="11"/>
        <rFont val="Calibri"/>
        <family val="2"/>
        <scheme val="minor"/>
      </rPr>
      <t>: Os serviços de ecossistema fornecidos por uma árvore adulta não são linearmente proporcionais aos de uma ávore jovem, sendo a sua relação mais próxima da exponencial. Pensamos em termos de biodiversidade e sequestro de carbono, por exemplo. Assim, é importante tentar ao máximo manter e preservar os exemplares arbóreos existentes na cidade, sempre que se tratem de espécies não invasoras.</t>
    </r>
  </si>
  <si>
    <r>
      <t xml:space="preserve">Define-se como o aumento da área de coberto vegetal permeável para além do limite mínimo legal estabelecido pelo RPDMP. A área permeável considerada é a área com coberto vegetal e infiltração natural da água, não sendo contabilizada a área com pavimentos permeáveis ou outro tipo de coberturas de solo que impeçam a infiltração natural da água.
</t>
    </r>
    <r>
      <rPr>
        <b/>
        <i/>
        <sz val="11"/>
        <rFont val="Calibri"/>
        <family val="2"/>
        <scheme val="minor"/>
      </rPr>
      <t>Racional da medida:</t>
    </r>
    <r>
      <rPr>
        <i/>
        <sz val="11"/>
        <rFont val="Calibri"/>
        <family val="2"/>
        <scheme val="minor"/>
      </rPr>
      <t xml:space="preserve"> A cidade do Porto é atravessada por 82 km de ribeiras, 75% das quais estão entubadas. O elevado grau de artificialidade da cidade coloca os sistemas de drenagem pluviais sobre uma pressão elevada, estando já identificadas bacias hidrográficas críticas da cidade. Por outro lado, já foram identificadas situações de morte de árvores por falta de água nos lençóis freáticos. É fundamental reverter esta situação e promover maior permeabilidade dos terrenos da cidade, garantindo infiltração, recarga de aquíferos e gestão das águas pluviais de forma natural.</t>
    </r>
  </si>
  <si>
    <r>
      <t xml:space="preserve">Define-se como a capacidade do terreno em reter as águas pluviais durante um evento de precipitação intensa, considerando um evento de tempo de retorno de 20 anos e um período de 20 minutos, conforme Decreto Regulamentar n.º 23/95, de 23 de agosto, avaliada em três variáveis:
a) Rácio de volume retido (RRETIDO);
b) Indicador de infiltração (IINFILT);
c) Indicador de reutilização (IREUTIL).
</t>
    </r>
    <r>
      <rPr>
        <b/>
        <i/>
        <sz val="11"/>
        <rFont val="Calibri"/>
        <family val="2"/>
        <scheme val="minor"/>
      </rPr>
      <t>Racional da medida:</t>
    </r>
    <r>
      <rPr>
        <i/>
        <sz val="11"/>
        <rFont val="Calibri"/>
        <family val="2"/>
        <scheme val="minor"/>
      </rPr>
      <t xml:space="preserve"> De acordo com o Plano Municipal de Ação Climática, os fenómenos extremos de precipitação têm tendência a tornar-se mais frequentes e mais intensos. Por outro lado, a cidade do Porto já sofre com as chuvas intensas, sendo reportadas sistematicamente inundações urbanas por toda a cidade durante episódios de precipitação intensa. É importante que as parcelas tenham capacidade de retenção e infiltração de água durante este tipo de eventos. No desenho de um jardim, facilmente se alia a manipulação da topografia do terreno com a criação de espaços verdes para permitir uma retenção e infiltração natural da água e promover a biodiversidade.</t>
    </r>
  </si>
  <si>
    <r>
      <t xml:space="preserve">Define-se como a classificação obtida pelo certificado AQUA+ da ADENE, emitido por Perito Qualificado
A Classificação AQUA+ incide sobre diversos aspetos que influenciam: o consumo de água no edifício/usos interiores (eficiência dos dispositivos – sistema de duche/chuveiro, autoclismo, lavatório WC, lava-loiça cozinha, outros – e dos equipamentos de lavagem, sistemas de produção e distribuição de água quente); o consumo de água em usos exteriores (rega, piscina, coberturas, outros); e, por fim, a reutilização das águas cinzentas e o aproveitamento das águas pluviais, para usos interiores e exteriores (fontes alternativas de água, entre outras). Os resultados da avaliação são utilizados para emitir uma classificação da eficiência hídrica do edifício, onde é atribuída uma classe de desempenho de F (menos eficiente) a A+ (mais eficiente), e identificadas as oportunidades de melhoria de desempenho (ADENE, 2022).
</t>
    </r>
    <r>
      <rPr>
        <b/>
        <i/>
        <sz val="11"/>
        <color theme="1"/>
        <rFont val="Calibri"/>
        <family val="2"/>
        <scheme val="minor"/>
      </rPr>
      <t>Racional da medida:</t>
    </r>
    <r>
      <rPr>
        <sz val="11"/>
        <color theme="1"/>
        <rFont val="Calibri"/>
        <family val="2"/>
        <scheme val="minor"/>
      </rPr>
      <t xml:space="preserve"> </t>
    </r>
    <r>
      <rPr>
        <i/>
        <sz val="11"/>
        <color theme="1"/>
        <rFont val="Calibri"/>
        <family val="2"/>
        <scheme val="minor"/>
      </rPr>
      <t>A racionalização da água é fundamental na gestão deste recurso escasso. O Porto, ainda que não esteja prevista a falta de água nas torneiras no médio prazo, deve dar o exemplo na aplicação de sistemas de eficiência hídrica. O AQUA+ é uma certificação desenvolvida pela ADENE, nos mesmos moldes do certificado energético, que se espera tornar obrigatório no médio prazo dados os episódios de seca cada vez mais frequentes sentidos em todo o paí.</t>
    </r>
  </si>
  <si>
    <r>
      <rPr>
        <b/>
        <sz val="18"/>
        <rFont val="Calibri"/>
        <family val="2"/>
        <scheme val="minor"/>
      </rPr>
      <t>3-3</t>
    </r>
    <r>
      <rPr>
        <sz val="18"/>
        <rFont val="Calibri"/>
        <family val="2"/>
        <scheme val="minor"/>
      </rPr>
      <t xml:space="preserve"> </t>
    </r>
    <r>
      <rPr>
        <sz val="16"/>
        <rFont val="Calibri"/>
        <family val="2"/>
        <scheme val="minor"/>
      </rPr>
      <t>Classificação AQUA+</t>
    </r>
  </si>
  <si>
    <r>
      <rPr>
        <b/>
        <sz val="18"/>
        <rFont val="Calibri"/>
        <family val="2"/>
        <scheme val="minor"/>
      </rPr>
      <t>4.1.</t>
    </r>
    <r>
      <rPr>
        <sz val="18"/>
        <rFont val="Calibri"/>
        <family val="2"/>
        <scheme val="minor"/>
      </rPr>
      <t xml:space="preserve"> </t>
    </r>
    <r>
      <rPr>
        <sz val="16"/>
        <rFont val="Calibri"/>
        <family val="2"/>
        <scheme val="minor"/>
      </rPr>
      <t>Gestão de Resíduos de Construção e Demolição</t>
    </r>
  </si>
  <si>
    <r>
      <t xml:space="preserve">Os resíduos de construção e demolição produzidos são tratados em conformidade com a legislação da União em matéria de resíduos e com a lista de controlo completa do Protocolo de Gestão de Resíduos de Construção e Demolição da UE, nomeadamente através do recurso a sistemas de triagem e auditorias de pré-demolição. Pelo menos 80 % (em massa, expressa em quilogramas) dos resíduos de construção e demolição não perigosos produzidos no estaleiro são preparados para reutilização ou reciclagem, excluindo operações de enchimento. Excluem-se do cálculo os materiais naturais referidos na categoria 17 05 04 da lista europeia de resíduos estabelecida pela Decisão 2000/532/CE. O operador da atividade demonstra a conformidade com o limiar de 80 % através da comunicação de informações sobre o indicador 2.2 do quadro Level(s), utilizando o formato de comunicação de informações de nível 2 para os diferentes fluxos de resíduos. Aplicam-se as definições e normas constantes do Regulamento Delegado (UE) 2023/2486, que estabele os critérios técnicos de avaliação para determinar em que condições uma atividade económica é qualificada como contribuindo substancialmente para a transição para uma economia circular (Taxonomia Europeia), nomeadamente a informação patente no ponto 3.1 do Anexo II do referido documento. Poderão ser dadas provas dos dados utilizando certificados e documentos equivalentes e que permitam obter a mesma informação. - </t>
    </r>
    <r>
      <rPr>
        <b/>
        <sz val="11"/>
        <rFont val="Calibri"/>
        <family val="2"/>
        <scheme val="minor"/>
      </rPr>
      <t xml:space="preserve">Verificação através da Folha Excel relativa ao indicador 2.2 do quadro Level(s) - Construction and Demolition Waste (CDW) and materials excel template: for estimating (Level 2) and recording (Level 3) amounts and types of CDW and their final destinations (version 1.1), disponível em: https://susproc.jrc.ec.europa.eu/product-bureau//product-groups/412/documents
</t>
    </r>
    <r>
      <rPr>
        <i/>
        <sz val="11"/>
        <rFont val="Calibri"/>
        <family val="2"/>
        <scheme val="minor"/>
      </rPr>
      <t xml:space="preserve">
</t>
    </r>
    <r>
      <rPr>
        <b/>
        <i/>
        <sz val="11"/>
        <rFont val="Calibri"/>
        <family val="2"/>
        <scheme val="minor"/>
      </rPr>
      <t xml:space="preserve">Racional da medida: </t>
    </r>
    <r>
      <rPr>
        <i/>
        <sz val="11"/>
        <rFont val="Calibri"/>
        <family val="2"/>
        <scheme val="minor"/>
      </rPr>
      <t>Com uma correta gestão de resíduos na cidade é possível identificar cada vez melhor os fluxos e os recursos disponíveis assim como garantir esses resíduos têm o tratamento adequado. É também a partir de uma correta medição dos resíduos produzidos que se podem tomar decisões de gestão e redução de produção dos mesmos.</t>
    </r>
  </si>
  <si>
    <r>
      <rPr>
        <b/>
        <sz val="18"/>
        <rFont val="Calibri"/>
        <family val="2"/>
        <scheme val="minor"/>
      </rPr>
      <t>4.2.</t>
    </r>
    <r>
      <rPr>
        <sz val="18"/>
        <rFont val="Calibri"/>
        <family val="2"/>
        <scheme val="minor"/>
      </rPr>
      <t xml:space="preserve"> </t>
    </r>
    <r>
      <rPr>
        <sz val="16"/>
        <rFont val="Calibri"/>
        <family val="2"/>
        <scheme val="minor"/>
      </rPr>
      <t>Utilização de matérias-primas secundárias</t>
    </r>
  </si>
  <si>
    <r>
      <t>I</t>
    </r>
    <r>
      <rPr>
        <i/>
        <vertAlign val="subscript"/>
        <sz val="20"/>
        <color theme="1"/>
        <rFont val="Calibri"/>
        <family val="2"/>
        <scheme val="minor"/>
      </rPr>
      <t>EDORIG</t>
    </r>
  </si>
  <si>
    <r>
      <t>CO2</t>
    </r>
    <r>
      <rPr>
        <i/>
        <vertAlign val="subscript"/>
        <sz val="20"/>
        <color theme="1"/>
        <rFont val="Calibri"/>
        <family val="2"/>
        <scheme val="minor"/>
      </rPr>
      <t>BIOGEN</t>
    </r>
  </si>
  <si>
    <t>P4-3 = 0 para CO2BIOGEN ≤ 5 kgCO2eq / m2</t>
  </si>
  <si>
    <t>P4-3 = 10 para CO2BIOGEN ≥ 70 kgCO2eq / m2</t>
  </si>
  <si>
    <r>
      <t>CO2</t>
    </r>
    <r>
      <rPr>
        <i/>
        <vertAlign val="subscript"/>
        <sz val="20"/>
        <color theme="1"/>
        <rFont val="Calibri"/>
        <family val="2"/>
        <scheme val="minor"/>
      </rPr>
      <t>INCORP</t>
    </r>
  </si>
  <si>
    <t>P4-4 = 0 para CO2INCORP ≥ 1000 kgCO2eq / m2</t>
  </si>
  <si>
    <t>P4-4 = 10 para CO2INCORP ≤ 700 kgCO2eq / m2</t>
  </si>
  <si>
    <t>Low Carbon Building Initiative - https://www.lowcarbonbuilding.com/methodology/
EN 15978:2011
EN15804:2012 + A2:2019</t>
  </si>
  <si>
    <r>
      <t xml:space="preserve">Define-se como o rácio entre a quantidade de matérias-primas primárias (RMATPRIM) utilizadas em obras de construção ou ampliação do edifício e a quantidade total de materiais utilizados em obras de construção ou ampliação do edifício, permitindo assim avaliar a quantidade de matérias-primas secundárias utilizadas. Este rácio calcula-se para as três principais categorias de materiais (PCAT(1), PCAT(2) e PCAT(3)) utilizados em obras de construção ou ampliação do edifício, ordenados de forma decrescente de acordo com a massa (expressa em quilogramas):
a) Combinado de betão, pedra natural ou aglomerado de pedra;
b) Combinado de tijolos, ladrilhos e cerâmica; 
c) Materiais de base biológica;
d) Combinado do vidro e isolantes minerais;
e) Plástico de base não biológica;
f) Metais;
g) Gesso.
Para avaliação desta medida, aplicam-se as definições e normas constantes do Regulamento Delegado (UE) 2023/2486, que estabelece os critérios técnicos de avaliação para determinar em que condições uma atividade económica é qualificada como contribuindo substancialmente para a transição para uma economia circular (Taxonomia Europeia), nomeadamente a informação patente no ponto 3.1 do Anexo II do referido documento, alínea 4. Caso as informações sobre o conteúdo reciclado de um produto de construção não estejam disponíveis, este deve ser contabilizado como incluindo 100 % de matérias-primas primárias. Para respeitar a hierarquia dos resíduos e, desse modo, privilegiar a reutilização em relação à reciclagem, os produtos de construção reutilizados, incluindo os que contêm matérias não residuais retransformadas no local, devem ser contabilizados como não contendo matérias-primas primárias.
Verificação através do Mapa de Quantidades, Materiais e tempos de vida. Como referência, recomenda-se a utilização da folha de cálculo Excel disponível na internet, no sítio institucional da European Commission Product Bureau: Bill of Quantities, materials and lifespans excel template: for estimating (Level 2) and recording (Level 3) purchases of material quantities and costs (version 1.2), disponível em: https://susproc.jrc.ec.europa.eu/product-bureau/product-groups/412/documents .
</t>
    </r>
    <r>
      <rPr>
        <b/>
        <i/>
        <sz val="10"/>
        <rFont val="Calibri"/>
        <family val="2"/>
        <scheme val="minor"/>
      </rPr>
      <t>Racional da medida:</t>
    </r>
    <r>
      <rPr>
        <i/>
        <sz val="10"/>
        <rFont val="Calibri"/>
        <family val="2"/>
        <scheme val="minor"/>
      </rPr>
      <t xml:space="preserve"> Sendo o setor da construção responsável por 50% da extração de recursos a nível mundial, e produzindo 35% dos resíduos da União Europeia, é fundamental olhar para os resíduos como recursos e reduzir a necessidade de matérias-primas primárias.</t>
    </r>
  </si>
  <si>
    <r>
      <t xml:space="preserve">O carbono biogénico define-se como a quantidade de carbono biogénico armazenado pelos materiais de base biológica no edifício, medida para a área de referência. Caso se trate de uma obra de construção ou ampliação, a área de referência mencionada no número anterior é considerada como sendo a totalidade da área de edificação. Caso se trate de uma obra de reconstrução ou alteração, a área de referência mencionada no número dois é considerada como sendo a área de edificação alvo de  intervenção. O carbono biogénico (CO2BIOGEN), expresso em kgCO2e/m2, deve ser calculado conforme a metodologia Low Carbon Building Initiative, disponível em https://www.lowcarbonbuilding.com/methodology/ . Os materiais de base biológica apenas poderão ser contabilizados se a sua extração for sustentável e documentada (por exemplo, FSC). O interessado deverá apresentar uma Análise de Ciclo de Vida do edifício segundo a norma internacional EN 15978:2011 e EN 15804:2012+A2:2019, onde permita aferir a quantidade de Carbono Biogénico.
</t>
    </r>
    <r>
      <rPr>
        <b/>
        <i/>
        <sz val="10"/>
        <rFont val="Calibri"/>
        <family val="2"/>
        <scheme val="minor"/>
      </rPr>
      <t xml:space="preserve">Racional da medida: </t>
    </r>
    <r>
      <rPr>
        <sz val="10"/>
        <rFont val="Calibri"/>
        <family val="2"/>
        <scheme val="minor"/>
      </rPr>
      <t>A utilização de materiais de base biológica permite que os edifícios, pensando a longo prazo, sejam sequestradores de carbono, contribuindo para as metas da neutralidade da cidade.</t>
    </r>
  </si>
  <si>
    <r>
      <t xml:space="preserve">Define-se como as emissões de Gases de Efeito de Estufa, fósseis e uso do solo e alterações de uso do solo (LULUC), ao longo de todo o ciclo de vida dos elementos de construção, medidos para a área de referência ao longo de 50 anos. Caso se trate de uma obra de construção ou ampliação, a área de referência mencionada no número anterior é considerada como sendo a totalidade da área de edificação. Caso se trate de uma obra de reconstrução ou alteração, a área de referência mencionada no número dois é considerada como sendo a área de edificação alvo de intervenção. O carbono incorporado (CO2INCORP), expresso em kgCO2e/m2, deve ser calculado conforme a metodologia Low Carbon Building Initiative, disponível em https://www.lowcarbonbuilding.com/methodology/.  O interessado deverá apresentar uma Análise de Ciclo de Vida do edifício segundo a norma internacional EN 15978:2011 e EN 15804:2012+A2:2019, onde permita aferir o Carbono Incorporado.
</t>
    </r>
    <r>
      <rPr>
        <b/>
        <i/>
        <sz val="10"/>
        <rFont val="Calibri"/>
        <family val="2"/>
        <scheme val="minor"/>
      </rPr>
      <t xml:space="preserve">Racional de medida: </t>
    </r>
    <r>
      <rPr>
        <i/>
        <sz val="10"/>
        <rFont val="Calibri"/>
        <family val="2"/>
        <scheme val="minor"/>
      </rPr>
      <t>é fundamental reduzir as emissões associadas à produção de materiais e à construção dos edifícios, seja através da utilização de materiais com menos emissões associadas seja através da utilização de tecnologias construtivas mais eficientes. Esta medida está alinhada com as metas para a neutralidade da cidade.</t>
    </r>
  </si>
  <si>
    <r>
      <rPr>
        <b/>
        <sz val="11"/>
        <rFont val="Calibri"/>
        <family val="2"/>
        <scheme val="minor"/>
      </rPr>
      <t>Para obras de construção e/ou ampliação</t>
    </r>
    <r>
      <rPr>
        <sz val="11"/>
        <rFont val="Calibri"/>
        <family val="2"/>
        <scheme val="minor"/>
      </rPr>
      <t xml:space="preserve">
P4-1 = 0 para RRCD ≤ 0,80</t>
    </r>
  </si>
  <si>
    <r>
      <rPr>
        <b/>
        <sz val="11"/>
        <rFont val="Calibri"/>
        <family val="2"/>
        <scheme val="minor"/>
      </rPr>
      <t>Para obras de construção e/ou ampliação</t>
    </r>
    <r>
      <rPr>
        <sz val="11"/>
        <rFont val="Calibri"/>
        <family val="2"/>
        <scheme val="minor"/>
      </rPr>
      <t xml:space="preserve">
P4-1 = 10 para RRCD ≥ 0,90</t>
    </r>
  </si>
  <si>
    <r>
      <rPr>
        <b/>
        <sz val="11"/>
        <rFont val="Calibri"/>
        <family val="2"/>
        <scheme val="minor"/>
      </rPr>
      <t>Para obras de reconstrução e/ou alteração</t>
    </r>
    <r>
      <rPr>
        <sz val="11"/>
        <rFont val="Calibri"/>
        <family val="2"/>
        <scheme val="minor"/>
      </rPr>
      <t xml:space="preserve">
P4-1 = 0 para RRCD ≤ 0,60</t>
    </r>
  </si>
  <si>
    <r>
      <rPr>
        <b/>
        <sz val="11"/>
        <rFont val="Calibri"/>
        <family val="2"/>
        <scheme val="minor"/>
      </rPr>
      <t>Para obras de reconstrução e/ou alteração</t>
    </r>
    <r>
      <rPr>
        <sz val="11"/>
        <rFont val="Calibri"/>
        <family val="2"/>
        <scheme val="minor"/>
      </rPr>
      <t xml:space="preserve">
P4-1 = 10 para RRCD ≥ 0,70</t>
    </r>
  </si>
  <si>
    <r>
      <rPr>
        <b/>
        <sz val="11"/>
        <rFont val="Calibri"/>
        <family val="2"/>
        <scheme val="minor"/>
      </rPr>
      <t>Para obras de construção e/ou ampliação:</t>
    </r>
    <r>
      <rPr>
        <sz val="11"/>
        <rFont val="Calibri"/>
        <family val="2"/>
        <scheme val="minor"/>
      </rPr>
      <t xml:space="preserve">
A pontuação de cada categoria (PCAT(i)) depende da categoria e do rácio calculado, conforme as alíneas seguintes:
a) Para o combinado de betão, pedra natural ou aglomerado de pedra, PCAT(i) é igual a 0 pontos se R(i)MATPRIM ≥ 0,76, e aumenta linear e proporcionalmente  até ao máximo de 10 pontos se R(i)MATPRIM ≤ 0,70;
b) Para o combinado de tijolos, ladrilhos e cerâmica, PCAT(i) é igual a 0 pontos se R(i)MATPRIM ≥ 0,76, e aumenta linear e proporcionalmente  até ao máximo de 10 pontos se R(i)MATPRIM ≤ 0,70;
c) Para os materiais de base biológica, PCAT(i) é igual a 0 pontos se R(i)MATPRIM ≥ 0,76, e aumenta linear e proporcionalmente  até ao máximo de 10 pontos se R(i)MATPRIM ≤ 0,70;
d) Para o combinado do vidro e isolantes minerais, PCAT(i) é igual a 0 pontos se R(i)MATPRIM ≥ 0,76, e aumenta linear e proporcionalmente  até ao máximo de 10 pontos se R(i)MATPRIM ≤ 0,70;
e) Para o plástico de base não biológica, PCAT(i) é igual a 0 pontos se R(i)MATPRIM ≥ 0,72, e aumenta linear e proporcionalmente  até ao máximo de 10 pontos se R(i)MATPRIM ≤ 0,65;
f) Para os metais, PCAT(i) é igual a 0 pontos se R(i)MATPRIM ≥ 0,44, e aumenta linear e proporcionalmente  até ao máximo de 10 pontos se R(i)MATPRIM ≤ 0,30;
g) Para gesso, PCAT(i) é igual a 0 pontos se R(i)MATPRIM ≥ 0,76, e aumenta linear e proporcionalmente  até ao máximo de 10 pontos se R(i)MATPRIM ≤ 0,70.
</t>
    </r>
  </si>
  <si>
    <t>Para obras de contrução e/ou ampliação:</t>
  </si>
  <si>
    <r>
      <rPr>
        <b/>
        <sz val="11"/>
        <rFont val="Calibri"/>
        <family val="2"/>
        <scheme val="minor"/>
      </rPr>
      <t>Para obras de recontrução e/ou alteração:</t>
    </r>
    <r>
      <rPr>
        <sz val="11"/>
        <rFont val="Calibri"/>
        <family val="2"/>
        <scheme val="minor"/>
      </rPr>
      <t xml:space="preserve">
A pontuação de cada categoria (PCAT(i)) depende da categoria e do rácio calculado, conforme as alíneas seguintes:
a) Para o combinado de betão, pedra natural ou aglomerado de pedra, PCAT(i) é igual a 0 pontos se R(i)MATPRIM ≥ 0,76, e aumenta linear e proporcionalmente  até ao máximo de 10 pontos se R(i)MATPRIM ≤ 0,70;
b) Para o combinado de tijolos, ladrilhos e cerâmica, PCAT(i) é igual a 0 pontos se R(i)MATPRIM ≥ 0,76, e aumenta linear e proporcionalmente  até ao máximo de 10 pontos se R(i)MATPRIM ≤ 0,70;
c) Para os materiais de base biológica, PCAT(i) é igual a 0 pontos se R(i)MATPRIM ≥ 0,76, e aumenta linear e proporcionalmente  até ao máximo de 10 pontos se R(i)MATPRIM ≤ 0,70;
d) Para o combinado do vidro e isolantes minerais, PCAT(i) é igual a 0 pontos se R(i)MATPRIM ≥ 0,76, e aumenta linear e proporcionalmente  até ao máximo de 10 pontos se R(i)MATPRIM ≤ 0,70;
e) Para o plástico de base não biológica, PCAT(i) é igual a 0 pontos se R(i)MATPRIM ≥ 0,72, e aumenta linear e proporcionalmente  até ao máximo de 10 pontos se R(i)MATPRIM ≤ 0,65;
f) Para os metais, PCAT(i) é igual a 0 pontos se R(i)MATPRIM ≥ 0,44, e aumenta linear e proporcionalmente  até ao máximo de 10 pontos se R(i)MATPRIM ≤ 0,30;
g) Para gesso, PCAT(i) é igual a 0 pontos se R(i)MATPRIM ≥ 0,76, e aumenta linear e proporcionalmente  até ao máximo de 10 pontos se R(i)MATPRIM ≤ 0,70.
</t>
    </r>
  </si>
  <si>
    <r>
      <rPr>
        <b/>
        <sz val="11"/>
        <color theme="1"/>
        <rFont val="Calibri"/>
        <family val="2"/>
        <scheme val="minor"/>
      </rPr>
      <t>Para obras de reconstrução e/ou alteração:</t>
    </r>
    <r>
      <rPr>
        <sz val="11"/>
        <color theme="1"/>
        <rFont val="Calibri"/>
        <family val="2"/>
        <scheme val="minor"/>
      </rPr>
      <t xml:space="preserve">
PEDORIG = 3 para IEDORIG = SIM</t>
    </r>
  </si>
  <si>
    <r>
      <rPr>
        <b/>
        <sz val="11"/>
        <color theme="1"/>
        <rFont val="Calibri"/>
        <family val="2"/>
        <scheme val="minor"/>
      </rPr>
      <t>Para obras de reconstrução e/ou alteração:</t>
    </r>
    <r>
      <rPr>
        <sz val="11"/>
        <color theme="1"/>
        <rFont val="Calibri"/>
        <family val="2"/>
        <scheme val="minor"/>
      </rPr>
      <t xml:space="preserve">
PEDORIG = 0 para IEDORIG = NÃO</t>
    </r>
  </si>
  <si>
    <t>Para obras de reconstrução e/ou alteração:</t>
  </si>
  <si>
    <r>
      <rPr>
        <b/>
        <sz val="18"/>
        <rFont val="Calibri"/>
        <family val="2"/>
        <scheme val="minor"/>
      </rPr>
      <t>2-4</t>
    </r>
    <r>
      <rPr>
        <sz val="20"/>
        <rFont val="Calibri"/>
        <family val="2"/>
        <scheme val="minor"/>
      </rPr>
      <t xml:space="preserve"> </t>
    </r>
    <r>
      <rPr>
        <sz val="16"/>
        <rFont val="Calibri"/>
        <family val="2"/>
        <scheme val="minor"/>
      </rPr>
      <t>Área de coberturas verdes</t>
    </r>
  </si>
  <si>
    <t>Implementação das correções derivadas do regulamento.
Calculadora não pode ser dinâmica, pelo que as medidas que não podem ser aplicadas pontuam 0, assim como os domínios.
Atualização de definições de acordo com o regulamento.
Eliminadas as excepções a todas as medidas.
Revisão final de acordo com projeto de regulametno</t>
  </si>
  <si>
    <t xml:space="preserve">a) Se a Classificação AQUA+ for igual a A+, P3-3 = 10 pontos;
b) Se a Classificação AQUA+ for igual a A, P3-3 = 8 pontos; 
c) Se a Classificação AQUA+ for igual a B, P3-3 = 6 pontos;
d) Se a Classificação AQUA+ for igual a C, P3-3 = 4 pontos;
e) Se a Classificação AQUA+ for igual a D, P3-3 = 2 pontos;
f) Em todos os outros casos, P3-3 = 0 pontos.
</t>
  </si>
  <si>
    <t>C</t>
  </si>
  <si>
    <t>D</t>
  </si>
  <si>
    <t>Correção das classificações AQUA+ de acordo com reunião com ADENE</t>
  </si>
  <si>
    <r>
      <t xml:space="preserve">A pessoa interessada deverá preencher a informação necessária </t>
    </r>
    <r>
      <rPr>
        <b/>
        <sz val="10"/>
        <color theme="1" tint="0.34998626667073579"/>
        <rFont val="Helvetica Neue"/>
      </rPr>
      <t>em todas as folhas existentes para o efeito</t>
    </r>
    <r>
      <rPr>
        <sz val="10"/>
        <color theme="1" tint="0.34998626667073579"/>
        <rFont val="Helvetica Neue"/>
      </rPr>
      <t xml:space="preserve">. Os valores introduzidos deverão ser calculados por especialistas e consequentes com as opções tomadas de desenho e construção.
Este documento, após preenchido, deverá acompanhar o requerimeto de licença de obra de edificação efetuado à Divisão Municipal de Gestão de Processos Urbanísticos.
A pessoa interessada deverá apenas preencher os campos que estão desbloqueados, sendo que pode verificar qual o resultado das diferentes decisões de desenho do edifício e do terreno.
Neste sentido, este documento também pode servir como guia para priorizar intervenções.
</t>
    </r>
    <r>
      <rPr>
        <b/>
        <sz val="10"/>
        <color theme="1" tint="0.34998626667073579"/>
        <rFont val="Helvetica Neue"/>
      </rPr>
      <t>Nota 1: a redução de taxas apresentada na classificação I.A. é apenas aplicada à TMI (Taxa de Manutenção de Infraestruturas) e quando existe lugar ao seu pagamento, conforme o Regulamento Perequativo de Edificabilidade e Encargos Urbanísticos (RPEEU).</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</si>
</sst>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quot;_-;\-* #,##0.00\ &quot;€&quot;_-;_-* &quot;-&quot;??\ &quot;€&quot;_-;_-@_-"/>
    <numFmt numFmtId="43" formatCode="_-* #,##0.00\ _€_-;\-* #,##0.00\ _€_-;_-* &quot;-&quot;??\ _€_-;_-@_-"/>
    <numFmt numFmtId="164" formatCode="0.0%"/>
    <numFmt numFmtId="165" formatCode="0.0"/>
    <numFmt numFmtId="166" formatCode="0.000"/>
    <numFmt numFmtId="167" formatCode="0.0000"/>
    <numFmt numFmtId="168" formatCode="0.00000"/>
    <numFmt numFmtId="169" formatCode="_-* #,##0.0000\ _€_-;\-* #,##0.0000\ _€_-;_-* &quot;-&quot;??\ _€_-;_-@_-"/>
  </numFmts>
  <fonts count="113">
    <font>
      <sz val="11"/>
      <color theme="1"/>
      <name val="Calibri"/>
      <family val="2"/>
      <scheme val="minor"/>
    </font>
    <font>
      <sz val="11"/>
      <color theme="1"/>
      <name val="Calibri"/>
      <family val="2"/>
      <scheme val="minor"/>
    </font>
    <font>
      <b/>
      <sz val="11"/>
      <color theme="1"/>
      <name val="Calibri"/>
      <family val="2"/>
      <scheme val="minor"/>
    </font>
    <font>
      <b/>
      <sz val="11"/>
      <color theme="1" tint="0.34998626667073579"/>
      <name val="Calibri"/>
      <family val="2"/>
      <scheme val="minor"/>
    </font>
    <font>
      <sz val="11"/>
      <color theme="1" tint="0.34998626667073579"/>
      <name val="Calibri"/>
      <family val="2"/>
      <scheme val="minor"/>
    </font>
    <font>
      <b/>
      <sz val="18"/>
      <color theme="1" tint="0.34998626667073579"/>
      <name val="Calibri"/>
      <family val="2"/>
      <scheme val="minor"/>
    </font>
    <font>
      <b/>
      <sz val="10"/>
      <color theme="1" tint="0.34998626667073579"/>
      <name val="Helvetica Neue"/>
      <family val="2"/>
    </font>
    <font>
      <sz val="10"/>
      <color theme="1"/>
      <name val="Helvetica Neue"/>
      <family val="2"/>
    </font>
    <font>
      <b/>
      <sz val="10"/>
      <color theme="1"/>
      <name val="Helvetica Neue"/>
      <family val="2"/>
    </font>
    <font>
      <b/>
      <sz val="10"/>
      <name val="Helvetica Neue"/>
    </font>
    <font>
      <b/>
      <sz val="10"/>
      <name val="Helvetica Neue"/>
      <family val="2"/>
    </font>
    <font>
      <sz val="10"/>
      <name val="Helvetica Neue"/>
      <family val="2"/>
    </font>
    <font>
      <u/>
      <sz val="11"/>
      <color theme="10"/>
      <name val="Calibri"/>
      <family val="2"/>
      <scheme val="minor"/>
    </font>
    <font>
      <b/>
      <sz val="14"/>
      <color theme="1"/>
      <name val="Calibri"/>
      <family val="2"/>
      <scheme val="minor"/>
    </font>
    <font>
      <b/>
      <sz val="10"/>
      <color theme="1"/>
      <name val="Helvetica Neue"/>
    </font>
    <font>
      <b/>
      <sz val="12"/>
      <color theme="1"/>
      <name val="Calibri"/>
      <family val="2"/>
      <scheme val="minor"/>
    </font>
    <font>
      <b/>
      <sz val="11"/>
      <color rgb="FFFF0000"/>
      <name val="Calibri"/>
      <family val="2"/>
      <scheme val="minor"/>
    </font>
    <font>
      <sz val="11"/>
      <color indexed="8"/>
      <name val="Calibri"/>
      <family val="2"/>
    </font>
    <font>
      <sz val="10"/>
      <name val="Arial"/>
      <family val="2"/>
    </font>
    <font>
      <sz val="10"/>
      <color theme="1" tint="0.34998626667073579"/>
      <name val="Helvetica Neue"/>
      <family val="2"/>
    </font>
    <font>
      <b/>
      <sz val="10"/>
      <color theme="1" tint="0.34998626667073579"/>
      <name val="Helvetica Neue"/>
    </font>
    <font>
      <sz val="10"/>
      <color theme="1" tint="0.34998626667073579"/>
      <name val="Helvetica Neue"/>
    </font>
    <font>
      <sz val="10"/>
      <color theme="0" tint="-0.249977111117893"/>
      <name val="Helvetica Neue"/>
      <family val="2"/>
    </font>
    <font>
      <sz val="10"/>
      <color rgb="FFFFFFFF"/>
      <name val="Helvetica Neue"/>
      <family val="2"/>
    </font>
    <font>
      <sz val="10"/>
      <color rgb="FF111111"/>
      <name val="Helvetica Neue"/>
      <family val="2"/>
    </font>
    <font>
      <sz val="11"/>
      <color theme="1"/>
      <name val="Calibri"/>
      <family val="2"/>
    </font>
    <font>
      <vertAlign val="subscript"/>
      <sz val="11"/>
      <color theme="1"/>
      <name val="Calibri"/>
      <family val="2"/>
    </font>
    <font>
      <b/>
      <sz val="11"/>
      <color rgb="FF3F3F3F"/>
      <name val="Calibri"/>
      <family val="2"/>
      <scheme val="minor"/>
    </font>
    <font>
      <i/>
      <sz val="11"/>
      <color theme="1"/>
      <name val="Calibri"/>
      <family val="2"/>
      <scheme val="minor"/>
    </font>
    <font>
      <sz val="10"/>
      <name val="Helvetica Neue"/>
    </font>
    <font>
      <b/>
      <sz val="11"/>
      <name val="Calibri"/>
      <family val="2"/>
      <scheme val="minor"/>
    </font>
    <font>
      <b/>
      <sz val="14"/>
      <name val="Calibri"/>
      <family val="2"/>
      <scheme val="minor"/>
    </font>
    <font>
      <b/>
      <sz val="12"/>
      <name val="Calibri"/>
      <family val="2"/>
      <scheme val="minor"/>
    </font>
    <font>
      <b/>
      <sz val="12"/>
      <color theme="7" tint="-0.249977111117893"/>
      <name val="Helvetica Neue"/>
    </font>
    <font>
      <b/>
      <sz val="12"/>
      <color theme="9" tint="-0.249977111117893"/>
      <name val="Helvetica Neue"/>
    </font>
    <font>
      <b/>
      <sz val="20"/>
      <color theme="1" tint="0.34998626667073579"/>
      <name val="Helvetica Neue"/>
    </font>
    <font>
      <b/>
      <sz val="12"/>
      <color theme="4" tint="-0.249977111117893"/>
      <name val="Helvetica Neue"/>
    </font>
    <font>
      <b/>
      <sz val="12"/>
      <color theme="5" tint="-0.249977111117893"/>
      <name val="Helvetica Neue"/>
    </font>
    <font>
      <sz val="20"/>
      <color theme="1"/>
      <name val="Helvetica Neue"/>
      <family val="2"/>
    </font>
    <font>
      <sz val="20"/>
      <color theme="1" tint="0.34998626667073579"/>
      <name val="Helvetica Neue"/>
      <family val="2"/>
    </font>
    <font>
      <b/>
      <sz val="24"/>
      <color theme="6" tint="-0.499984740745262"/>
      <name val="Helvetica Neue"/>
      <family val="2"/>
    </font>
    <font>
      <sz val="20"/>
      <color theme="6" tint="-0.249977111117893"/>
      <name val="Helvetica Neue"/>
      <family val="2"/>
    </font>
    <font>
      <sz val="18"/>
      <color theme="6" tint="-0.499984740745262"/>
      <name val="Helvetica Neue"/>
    </font>
    <font>
      <b/>
      <sz val="18"/>
      <color theme="1" tint="0.34998626667073579"/>
      <name val="Helvetica Neue"/>
    </font>
    <font>
      <b/>
      <sz val="18"/>
      <color theme="7" tint="0.39997558519241921"/>
      <name val="Calibri"/>
      <family val="2"/>
      <scheme val="minor"/>
    </font>
    <font>
      <b/>
      <sz val="24"/>
      <color theme="9" tint="-0.249977111117893"/>
      <name val="Calibri"/>
      <family val="2"/>
      <scheme val="minor"/>
    </font>
    <font>
      <b/>
      <sz val="18"/>
      <color theme="5" tint="-0.249977111117893"/>
      <name val="Calibri"/>
      <family val="2"/>
      <scheme val="minor"/>
    </font>
    <font>
      <b/>
      <sz val="24"/>
      <color theme="8" tint="-0.249977111117893"/>
      <name val="Calibri"/>
      <family val="2"/>
      <scheme val="minor"/>
    </font>
    <font>
      <sz val="11"/>
      <name val="Calibri"/>
      <family val="2"/>
      <scheme val="minor"/>
    </font>
    <font>
      <i/>
      <sz val="11"/>
      <color theme="0" tint="-0.499984740745262"/>
      <name val="Calibri"/>
      <family val="2"/>
      <scheme val="minor"/>
    </font>
    <font>
      <sz val="11"/>
      <color theme="0" tint="-0.499984740745262"/>
      <name val="Calibri"/>
      <family val="2"/>
      <scheme val="minor"/>
    </font>
    <font>
      <i/>
      <sz val="11"/>
      <name val="Calibri"/>
      <family val="2"/>
      <scheme val="minor"/>
    </font>
    <font>
      <sz val="11"/>
      <color theme="0" tint="-0.14999847407452621"/>
      <name val="Calibri"/>
      <family val="2"/>
      <scheme val="minor"/>
    </font>
    <font>
      <i/>
      <sz val="11"/>
      <color indexed="8"/>
      <name val="Calibri"/>
      <family val="2"/>
    </font>
    <font>
      <b/>
      <sz val="26"/>
      <color theme="2" tint="-0.499984740745262"/>
      <name val="Calibri"/>
      <family val="2"/>
      <scheme val="minor"/>
    </font>
    <font>
      <b/>
      <sz val="40"/>
      <color theme="8" tint="-0.249977111117893"/>
      <name val="Calibri"/>
      <family val="2"/>
      <scheme val="minor"/>
    </font>
    <font>
      <b/>
      <sz val="40"/>
      <color theme="5" tint="-0.249977111117893"/>
      <name val="Calibri"/>
      <family val="2"/>
      <scheme val="minor"/>
    </font>
    <font>
      <b/>
      <sz val="24"/>
      <color theme="1" tint="0.34998626667073579"/>
      <name val="Helvetica Neue"/>
      <family val="2"/>
    </font>
    <font>
      <sz val="11"/>
      <color theme="6" tint="-0.499984740745262"/>
      <name val="Helvetica Neue"/>
    </font>
    <font>
      <b/>
      <sz val="11"/>
      <color theme="6" tint="-0.499984740745262"/>
      <name val="Helvetica Neue"/>
    </font>
    <font>
      <b/>
      <sz val="12"/>
      <color theme="6" tint="-0.499984740745262"/>
      <name val="Helvetica Neue"/>
    </font>
    <font>
      <b/>
      <sz val="18"/>
      <color theme="1" tint="0.34998626667073579"/>
      <name val="Helvetica Neue"/>
      <family val="2"/>
    </font>
    <font>
      <sz val="11"/>
      <color theme="1" tint="0.34998626667073579"/>
      <name val="Helvetica Neue"/>
    </font>
    <font>
      <b/>
      <sz val="24"/>
      <color theme="7"/>
      <name val="Helvetica Neue"/>
      <family val="2"/>
    </font>
    <font>
      <sz val="14"/>
      <color theme="1"/>
      <name val="Helvetica Neue"/>
      <family val="2"/>
    </font>
    <font>
      <sz val="12"/>
      <color theme="1"/>
      <name val="Helvetica Neue"/>
      <family val="2"/>
    </font>
    <font>
      <sz val="11"/>
      <color theme="1" tint="0.34998626667073579"/>
      <name val="Helvetica Neue"/>
      <family val="2"/>
    </font>
    <font>
      <sz val="9"/>
      <color indexed="81"/>
      <name val="Tahoma"/>
      <family val="2"/>
    </font>
    <font>
      <b/>
      <sz val="16"/>
      <color theme="1" tint="0.34998626667073579"/>
      <name val="Helvetica Neue"/>
      <family val="2"/>
    </font>
    <font>
      <b/>
      <vertAlign val="subscript"/>
      <sz val="10"/>
      <color theme="1"/>
      <name val="Helvetica Neue"/>
    </font>
    <font>
      <b/>
      <sz val="11"/>
      <color theme="0"/>
      <name val="Helvetica Neue"/>
    </font>
    <font>
      <b/>
      <sz val="28"/>
      <name val="Helvetica Neue"/>
    </font>
    <font>
      <b/>
      <sz val="16"/>
      <color theme="1" tint="0.34998626667073579"/>
      <name val="Helvetica Neue"/>
    </font>
    <font>
      <b/>
      <sz val="24"/>
      <color theme="9"/>
      <name val="Helvetica Neue"/>
      <family val="2"/>
    </font>
    <font>
      <b/>
      <sz val="24"/>
      <color theme="5" tint="-0.249977111117893"/>
      <name val="Helvetica Neue"/>
      <family val="2"/>
    </font>
    <font>
      <b/>
      <sz val="24"/>
      <color theme="4" tint="-0.249977111117893"/>
      <name val="Helvetica Neue"/>
      <family val="2"/>
    </font>
    <font>
      <b/>
      <sz val="20"/>
      <color theme="1" tint="0.34998626667073579"/>
      <name val="Helvetica Neue"/>
      <family val="2"/>
    </font>
    <font>
      <b/>
      <sz val="11"/>
      <color theme="1" tint="0.34998626667073579"/>
      <name val="Helvetica Neue"/>
    </font>
    <font>
      <b/>
      <sz val="24"/>
      <color rgb="FF2F157F"/>
      <name val="Helvetica Neue"/>
      <family val="2"/>
    </font>
    <font>
      <b/>
      <sz val="14"/>
      <color theme="1" tint="0.34998626667073579"/>
      <name val="Helvetica Neue"/>
    </font>
    <font>
      <sz val="16"/>
      <color theme="1" tint="0.34998626667073579"/>
      <name val="Helvetica Neue"/>
    </font>
    <font>
      <b/>
      <sz val="12"/>
      <color theme="7"/>
      <name val="Helvetica Neue"/>
    </font>
    <font>
      <b/>
      <sz val="12"/>
      <color theme="9"/>
      <name val="Helvetica Neue"/>
    </font>
    <font>
      <i/>
      <sz val="11"/>
      <color theme="1" tint="0.34998626667073579"/>
      <name val="Helvetica Neue"/>
    </font>
    <font>
      <i/>
      <sz val="11"/>
      <color theme="1"/>
      <name val="Calibri"/>
      <family val="2"/>
      <scheme val="minor"/>
    </font>
    <font>
      <sz val="11"/>
      <color theme="1"/>
      <name val="Calibri"/>
      <family val="2"/>
      <scheme val="minor"/>
    </font>
    <font>
      <b/>
      <sz val="18"/>
      <color theme="7"/>
      <name val="Helvetica Neue"/>
    </font>
    <font>
      <b/>
      <sz val="18"/>
      <color theme="9"/>
      <name val="Helvetica Neue"/>
    </font>
    <font>
      <b/>
      <sz val="18"/>
      <color theme="4" tint="-0.249977111117893"/>
      <name val="Helvetica Neue"/>
    </font>
    <font>
      <b/>
      <sz val="18"/>
      <color theme="5" tint="-0.249977111117893"/>
      <name val="Helvetica Neue"/>
    </font>
    <font>
      <b/>
      <i/>
      <sz val="11"/>
      <color theme="1"/>
      <name val="Calibri"/>
      <family val="2"/>
      <scheme val="minor"/>
    </font>
    <font>
      <sz val="11"/>
      <color theme="10"/>
      <name val="Calibri"/>
      <family val="2"/>
      <scheme val="minor"/>
    </font>
    <font>
      <vertAlign val="superscript"/>
      <sz val="11"/>
      <color theme="1" tint="0.34998626667073579"/>
      <name val="Helvetica Neue"/>
    </font>
    <font>
      <i/>
      <sz val="16"/>
      <color theme="1"/>
      <name val="Calibri"/>
      <family val="2"/>
      <scheme val="minor"/>
    </font>
    <font>
      <i/>
      <vertAlign val="subscript"/>
      <sz val="16"/>
      <color theme="1"/>
      <name val="Calibri"/>
      <family val="2"/>
      <scheme val="minor"/>
    </font>
    <font>
      <b/>
      <i/>
      <sz val="11"/>
      <name val="Calibri"/>
      <family val="2"/>
      <scheme val="minor"/>
    </font>
    <font>
      <sz val="10"/>
      <name val="Calibri"/>
      <family val="2"/>
      <scheme val="minor"/>
    </font>
    <font>
      <b/>
      <i/>
      <sz val="10"/>
      <name val="Calibri"/>
      <family val="2"/>
      <scheme val="minor"/>
    </font>
    <font>
      <sz val="10"/>
      <color theme="1"/>
      <name val="Calibri"/>
      <family val="2"/>
      <scheme val="minor"/>
    </font>
    <font>
      <b/>
      <sz val="10"/>
      <color theme="1" tint="0.34998626667073579"/>
      <name val="Calibri"/>
      <family val="2"/>
      <scheme val="minor"/>
    </font>
    <font>
      <b/>
      <sz val="16"/>
      <color theme="1" tint="0.34998626667073579"/>
      <name val="Calibri"/>
      <family val="2"/>
      <scheme val="minor"/>
    </font>
    <font>
      <b/>
      <sz val="24"/>
      <color theme="6" tint="-0.499984740745262"/>
      <name val="Calibri"/>
      <family val="2"/>
      <scheme val="minor"/>
    </font>
    <font>
      <b/>
      <sz val="16"/>
      <color theme="1"/>
      <name val="Calibri"/>
      <family val="2"/>
      <scheme val="minor"/>
    </font>
    <font>
      <b/>
      <sz val="28"/>
      <color theme="7" tint="-0.249977111117893"/>
      <name val="Calibri"/>
      <family val="2"/>
      <scheme val="minor"/>
    </font>
    <font>
      <b/>
      <sz val="18"/>
      <name val="Calibri"/>
      <family val="2"/>
      <scheme val="minor"/>
    </font>
    <font>
      <b/>
      <sz val="16"/>
      <name val="Calibri"/>
      <family val="2"/>
      <scheme val="minor"/>
    </font>
    <font>
      <sz val="16"/>
      <name val="Calibri"/>
      <family val="2"/>
      <scheme val="minor"/>
    </font>
    <font>
      <b/>
      <sz val="28"/>
      <color theme="9" tint="-0.249977111117893"/>
      <name val="Calibri"/>
      <family val="2"/>
      <scheme val="minor"/>
    </font>
    <font>
      <sz val="18"/>
      <name val="Calibri"/>
      <family val="2"/>
      <scheme val="minor"/>
    </font>
    <font>
      <sz val="20"/>
      <name val="Calibri"/>
      <family val="2"/>
      <scheme val="minor"/>
    </font>
    <font>
      <i/>
      <sz val="20"/>
      <color theme="1"/>
      <name val="Calibri"/>
      <family val="2"/>
      <scheme val="minor"/>
    </font>
    <font>
      <i/>
      <vertAlign val="subscript"/>
      <sz val="20"/>
      <color theme="1"/>
      <name val="Calibri"/>
      <family val="2"/>
      <scheme val="minor"/>
    </font>
    <font>
      <i/>
      <sz val="10"/>
      <name val="Calibri"/>
      <family val="2"/>
      <scheme val="minor"/>
    </font>
  </fonts>
  <fills count="16">
    <fill>
      <patternFill patternType="none"/>
    </fill>
    <fill>
      <patternFill patternType="gray125"/>
    </fill>
    <fill>
      <patternFill patternType="solid">
        <fgColor indexed="65"/>
        <bgColor indexed="64"/>
      </patternFill>
    </fill>
    <fill>
      <patternFill patternType="solid">
        <fgColor theme="0" tint="-4.9989318521683403E-2"/>
        <bgColor indexed="64"/>
      </patternFill>
    </fill>
    <fill>
      <patternFill patternType="solid">
        <fgColor theme="0" tint="-0.14999847407452621"/>
        <bgColor theme="1"/>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theme="1"/>
      </patternFill>
    </fill>
    <fill>
      <patternFill patternType="solid">
        <fgColor rgb="FFF2F2F2"/>
      </patternFill>
    </fill>
    <fill>
      <patternFill patternType="solid">
        <fgColor theme="0" tint="-0.249977111117893"/>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1" tint="0.249977111117893"/>
        <bgColor indexed="64"/>
      </patternFill>
    </fill>
    <fill>
      <patternFill patternType="solid">
        <fgColor theme="2"/>
        <bgColor indexed="64"/>
      </patternFill>
    </fill>
    <fill>
      <patternFill patternType="solid">
        <fgColor theme="0" tint="-0.499984740745262"/>
        <bgColor indexed="64"/>
      </patternFill>
    </fill>
    <fill>
      <patternFill patternType="solid">
        <fgColor theme="1" tint="0.499984740745262"/>
        <bgColor indexed="64"/>
      </patternFill>
    </fill>
  </fills>
  <borders count="72">
    <border>
      <left/>
      <right/>
      <top/>
      <bottom/>
      <diagonal/>
    </border>
    <border>
      <left/>
      <right style="thin">
        <color theme="8" tint="0.79998168889431442"/>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s>
  <cellStyleXfs count="9">
    <xf numFmtId="0" fontId="0" fillId="0" borderId="0"/>
    <xf numFmtId="9" fontId="1" fillId="0" borderId="0" applyFont="0" applyFill="0" applyBorder="0" applyAlignment="0" applyProtection="0"/>
    <xf numFmtId="0" fontId="12" fillId="0" borderId="0" applyNumberFormat="0" applyFill="0" applyBorder="0" applyAlignment="0" applyProtection="0"/>
    <xf numFmtId="0" fontId="17" fillId="0" borderId="0" applyNumberFormat="0" applyFill="0" applyBorder="0" applyProtection="0"/>
    <xf numFmtId="0" fontId="1" fillId="0" borderId="0"/>
    <xf numFmtId="0" fontId="27" fillId="8" borderId="6" applyNumberFormat="0" applyAlignment="0" applyProtection="0"/>
    <xf numFmtId="0" fontId="18" fillId="0" borderId="0"/>
    <xf numFmtId="44" fontId="18" fillId="0" borderId="0" applyFont="0" applyFill="0" applyBorder="0" applyAlignment="0" applyProtection="0"/>
    <xf numFmtId="43" fontId="1" fillId="0" borderId="0" applyFont="0" applyFill="0" applyBorder="0" applyAlignment="0" applyProtection="0"/>
  </cellStyleXfs>
  <cellXfs count="738">
    <xf numFmtId="0" fontId="0" fillId="0" borderId="0" xfId="0"/>
    <xf numFmtId="0" fontId="0" fillId="2" borderId="0" xfId="0" applyFill="1"/>
    <xf numFmtId="0" fontId="3" fillId="2" borderId="0" xfId="0" applyFont="1" applyFill="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left" vertical="center"/>
      <protection locked="0"/>
    </xf>
    <xf numFmtId="0" fontId="0" fillId="3" borderId="0" xfId="0" applyFill="1"/>
    <xf numFmtId="0" fontId="3" fillId="3" borderId="0" xfId="0" applyFont="1" applyFill="1" applyAlignment="1" applyProtection="1">
      <alignment horizontal="center" vertical="center"/>
      <protection locked="0"/>
    </xf>
    <xf numFmtId="0" fontId="4" fillId="3" borderId="0" xfId="0" applyFont="1" applyFill="1" applyAlignment="1" applyProtection="1">
      <alignment horizontal="left" vertical="center"/>
      <protection locked="0"/>
    </xf>
    <xf numFmtId="0" fontId="0" fillId="0" borderId="2" xfId="0" applyBorder="1" applyAlignment="1">
      <alignment vertical="center"/>
    </xf>
    <xf numFmtId="0" fontId="0" fillId="0" borderId="2" xfId="0"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7" fillId="2" borderId="0" xfId="0" applyFont="1" applyFill="1" applyProtection="1">
      <protection locked="0"/>
    </xf>
    <xf numFmtId="0" fontId="6" fillId="2" borderId="0" xfId="0"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165" fontId="19" fillId="2" borderId="0" xfId="0" applyNumberFormat="1" applyFont="1" applyFill="1" applyProtection="1">
      <protection locked="0"/>
    </xf>
    <xf numFmtId="0" fontId="19" fillId="2" borderId="0" xfId="0" applyFont="1" applyFill="1" applyAlignment="1" applyProtection="1">
      <alignment vertical="center"/>
      <protection locked="0"/>
    </xf>
    <xf numFmtId="0" fontId="7" fillId="2" borderId="0" xfId="0" applyFont="1" applyFill="1"/>
    <xf numFmtId="0" fontId="19" fillId="2" borderId="0" xfId="0" applyFont="1" applyFill="1" applyProtection="1">
      <protection locked="0"/>
    </xf>
    <xf numFmtId="0" fontId="19" fillId="2" borderId="0" xfId="0" applyFont="1" applyFill="1" applyAlignment="1" applyProtection="1">
      <alignment vertical="center" wrapText="1"/>
      <protection locked="0"/>
    </xf>
    <xf numFmtId="0" fontId="7" fillId="7" borderId="0" xfId="0" applyFont="1" applyFill="1" applyProtection="1">
      <protection locked="0"/>
    </xf>
    <xf numFmtId="0" fontId="19" fillId="3" borderId="0" xfId="0" applyFont="1" applyFill="1" applyAlignment="1" applyProtection="1">
      <alignment horizontal="center" vertical="center"/>
      <protection locked="0"/>
    </xf>
    <xf numFmtId="0" fontId="7" fillId="2" borderId="0" xfId="0" applyFont="1" applyFill="1" applyAlignment="1" applyProtection="1">
      <alignment vertical="center"/>
      <protection locked="0"/>
    </xf>
    <xf numFmtId="0" fontId="19" fillId="3" borderId="0" xfId="0" applyFont="1" applyFill="1" applyAlignment="1" applyProtection="1">
      <alignment horizontal="center" vertical="center" wrapText="1"/>
      <protection locked="0"/>
    </xf>
    <xf numFmtId="0" fontId="8" fillId="2" borderId="0" xfId="0" applyFont="1" applyFill="1" applyAlignment="1" applyProtection="1">
      <alignment vertical="center"/>
      <protection locked="0"/>
    </xf>
    <xf numFmtId="166" fontId="19" fillId="2" borderId="0" xfId="0" applyNumberFormat="1" applyFont="1" applyFill="1" applyAlignment="1" applyProtection="1">
      <alignment vertical="center"/>
      <protection locked="0"/>
    </xf>
    <xf numFmtId="2" fontId="11" fillId="2" borderId="0" xfId="0" applyNumberFormat="1" applyFont="1" applyFill="1" applyAlignment="1" applyProtection="1">
      <alignment vertical="center"/>
      <protection locked="0"/>
    </xf>
    <xf numFmtId="0" fontId="11" fillId="2" borderId="0" xfId="0" applyFont="1" applyFill="1" applyProtection="1">
      <protection locked="0"/>
    </xf>
    <xf numFmtId="9" fontId="22" fillId="2" borderId="0" xfId="0" applyNumberFormat="1" applyFont="1" applyFill="1" applyAlignment="1" applyProtection="1">
      <alignment horizontal="center" vertical="center"/>
      <protection locked="0"/>
    </xf>
    <xf numFmtId="0" fontId="6" fillId="2" borderId="0" xfId="0" applyFont="1" applyFill="1" applyAlignment="1" applyProtection="1">
      <alignment vertical="center"/>
      <protection locked="0"/>
    </xf>
    <xf numFmtId="1" fontId="6" fillId="2" borderId="0" xfId="0" applyNumberFormat="1" applyFont="1" applyFill="1" applyAlignment="1" applyProtection="1">
      <alignment horizontal="center" vertical="center"/>
      <protection locked="0"/>
    </xf>
    <xf numFmtId="1" fontId="23" fillId="2" borderId="0" xfId="0" applyNumberFormat="1" applyFont="1" applyFill="1" applyAlignment="1" applyProtection="1">
      <alignment vertical="center"/>
      <protection locked="0"/>
    </xf>
    <xf numFmtId="0" fontId="24" fillId="2" borderId="0" xfId="0" applyFont="1" applyFill="1" applyAlignment="1">
      <alignment vertical="center"/>
    </xf>
    <xf numFmtId="0" fontId="23" fillId="2" borderId="0" xfId="0" applyFont="1" applyFill="1" applyAlignment="1" applyProtection="1">
      <alignment horizontal="center" vertical="center"/>
      <protection locked="0"/>
    </xf>
    <xf numFmtId="0" fontId="6" fillId="2" borderId="0" xfId="0" applyFont="1" applyFill="1" applyAlignment="1" applyProtection="1">
      <alignment horizontal="center" vertical="center" wrapText="1"/>
      <protection locked="0"/>
    </xf>
    <xf numFmtId="0" fontId="4" fillId="3" borderId="0" xfId="0" applyFont="1" applyFill="1"/>
    <xf numFmtId="0" fontId="4" fillId="2" borderId="0" xfId="0" applyFont="1" applyFill="1"/>
    <xf numFmtId="0" fontId="0" fillId="3" borderId="0" xfId="0" applyFill="1" applyAlignment="1">
      <alignment wrapText="1"/>
    </xf>
    <xf numFmtId="0" fontId="4" fillId="2" borderId="0" xfId="0" applyFont="1" applyFill="1" applyAlignment="1">
      <alignment wrapText="1"/>
    </xf>
    <xf numFmtId="0" fontId="4" fillId="3" borderId="0" xfId="0" applyFont="1" applyFill="1" applyAlignment="1">
      <alignment wrapText="1"/>
    </xf>
    <xf numFmtId="0" fontId="4" fillId="0" borderId="0" xfId="0" applyFont="1"/>
    <xf numFmtId="0" fontId="3"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horizontal="left" vertical="center"/>
    </xf>
    <xf numFmtId="0" fontId="4" fillId="3" borderId="0" xfId="0" applyFont="1" applyFill="1" applyAlignment="1">
      <alignment horizontal="left"/>
    </xf>
    <xf numFmtId="0" fontId="4" fillId="0" borderId="0" xfId="0" applyFont="1" applyAlignment="1">
      <alignment horizontal="left"/>
    </xf>
    <xf numFmtId="0" fontId="3" fillId="3" borderId="0" xfId="0" applyFont="1" applyFill="1"/>
    <xf numFmtId="0" fontId="3" fillId="0" borderId="0" xfId="0" applyFont="1" applyAlignment="1">
      <alignment horizontal="center" vertical="center" wrapText="1"/>
    </xf>
    <xf numFmtId="0" fontId="4" fillId="0" borderId="0" xfId="0" applyFont="1" applyAlignment="1">
      <alignment horizontal="center" vertical="center"/>
    </xf>
    <xf numFmtId="0" fontId="27" fillId="0" borderId="0" xfId="5" applyFill="1" applyBorder="1" applyAlignment="1">
      <alignment horizontal="center" vertical="center"/>
    </xf>
    <xf numFmtId="0" fontId="7" fillId="7" borderId="0" xfId="0" applyFont="1" applyFill="1" applyAlignment="1" applyProtection="1">
      <alignment vertical="center"/>
      <protection locked="0"/>
    </xf>
    <xf numFmtId="0" fontId="19" fillId="2" borderId="2" xfId="0" applyFont="1" applyFill="1" applyBorder="1" applyAlignment="1" applyProtection="1">
      <alignment vertical="center"/>
      <protection locked="0"/>
    </xf>
    <xf numFmtId="0" fontId="7" fillId="2" borderId="2" xfId="0" applyFont="1" applyFill="1" applyBorder="1" applyProtection="1">
      <protection locked="0"/>
    </xf>
    <xf numFmtId="0" fontId="3" fillId="3" borderId="0" xfId="0" applyFont="1" applyFill="1" applyAlignment="1">
      <alignment vertical="center" wrapText="1"/>
    </xf>
    <xf numFmtId="0" fontId="30" fillId="9" borderId="0" xfId="0" applyFont="1" applyFill="1"/>
    <xf numFmtId="0" fontId="30" fillId="9" borderId="0" xfId="0" applyFont="1" applyFill="1" applyAlignment="1">
      <alignment vertical="center" wrapText="1"/>
    </xf>
    <xf numFmtId="166" fontId="3" fillId="6" borderId="0" xfId="0" applyNumberFormat="1" applyFont="1" applyFill="1" applyAlignment="1">
      <alignment vertical="center" wrapText="1"/>
    </xf>
    <xf numFmtId="2" fontId="3" fillId="6" borderId="0" xfId="0" applyNumberFormat="1" applyFont="1" applyFill="1" applyAlignment="1">
      <alignment vertical="center" wrapText="1"/>
    </xf>
    <xf numFmtId="2" fontId="32" fillId="6" borderId="2" xfId="0" applyNumberFormat="1" applyFont="1" applyFill="1" applyBorder="1"/>
    <xf numFmtId="0" fontId="12" fillId="0" borderId="0" xfId="2"/>
    <xf numFmtId="0" fontId="2" fillId="0" borderId="0" xfId="0" applyFont="1"/>
    <xf numFmtId="0" fontId="11" fillId="5" borderId="11" xfId="0" applyFont="1" applyFill="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168" fontId="19" fillId="0" borderId="0" xfId="0" applyNumberFormat="1" applyFont="1" applyAlignment="1" applyProtection="1">
      <alignment vertical="center"/>
      <protection locked="0"/>
    </xf>
    <xf numFmtId="0" fontId="19" fillId="0" borderId="0" xfId="0" applyFont="1" applyAlignment="1" applyProtection="1">
      <alignment vertical="center"/>
      <protection locked="0"/>
    </xf>
    <xf numFmtId="9" fontId="7" fillId="0" borderId="0" xfId="1" applyFont="1" applyFill="1" applyBorder="1"/>
    <xf numFmtId="167" fontId="11" fillId="0" borderId="0" xfId="0" applyNumberFormat="1" applyFont="1" applyAlignment="1" applyProtection="1">
      <alignment vertical="center"/>
      <protection locked="0"/>
    </xf>
    <xf numFmtId="0" fontId="11" fillId="0" borderId="0" xfId="0" applyFont="1" applyAlignment="1">
      <alignment horizontal="center" vertical="center" wrapText="1"/>
    </xf>
    <xf numFmtId="0" fontId="11" fillId="0" borderId="0" xfId="0" applyFont="1" applyAlignment="1" applyProtection="1">
      <alignment horizontal="center" vertical="center"/>
      <protection locked="0"/>
    </xf>
    <xf numFmtId="0" fontId="10" fillId="0" borderId="0" xfId="0" applyFont="1" applyAlignment="1" applyProtection="1">
      <alignment vertical="center" wrapText="1"/>
      <protection locked="0"/>
    </xf>
    <xf numFmtId="1" fontId="11" fillId="0" borderId="0" xfId="0" applyNumberFormat="1" applyFont="1" applyAlignment="1">
      <alignment horizontal="center" vertical="center" wrapText="1"/>
    </xf>
    <xf numFmtId="2" fontId="11" fillId="0" borderId="0" xfId="0" applyNumberFormat="1" applyFont="1" applyAlignment="1">
      <alignment horizontal="center" vertical="center" wrapText="1"/>
    </xf>
    <xf numFmtId="0" fontId="37" fillId="0" borderId="0" xfId="0" applyFont="1" applyAlignment="1" applyProtection="1">
      <alignment horizontal="center" vertical="center" wrapText="1"/>
      <protection locked="0"/>
    </xf>
    <xf numFmtId="165" fontId="7" fillId="0" borderId="0" xfId="0" applyNumberFormat="1" applyFont="1" applyProtection="1">
      <protection locked="0"/>
    </xf>
    <xf numFmtId="165" fontId="19" fillId="0" borderId="0" xfId="0" applyNumberFormat="1" applyFont="1" applyAlignment="1" applyProtection="1">
      <alignment horizontal="center" vertical="center"/>
      <protection locked="0"/>
    </xf>
    <xf numFmtId="10" fontId="11" fillId="0" borderId="0" xfId="1" applyNumberFormat="1" applyFont="1" applyFill="1" applyBorder="1" applyAlignment="1">
      <alignment horizontal="center" vertical="center" wrapText="1"/>
    </xf>
    <xf numFmtId="10" fontId="11" fillId="0" borderId="0" xfId="1" applyNumberFormat="1" applyFont="1" applyFill="1" applyBorder="1" applyAlignment="1" applyProtection="1">
      <alignment horizontal="center" vertical="center"/>
      <protection locked="0"/>
    </xf>
    <xf numFmtId="0" fontId="7" fillId="0" borderId="0" xfId="0" applyFont="1" applyProtection="1">
      <protection locked="0"/>
    </xf>
    <xf numFmtId="165" fontId="11" fillId="0" borderId="0" xfId="0" applyNumberFormat="1" applyFont="1" applyAlignment="1" applyProtection="1">
      <alignment horizontal="center" vertical="center"/>
      <protection locked="0"/>
    </xf>
    <xf numFmtId="9" fontId="11" fillId="0" borderId="0" xfId="1" applyFont="1" applyFill="1" applyBorder="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11" fillId="0" borderId="0" xfId="0" applyFont="1" applyProtection="1">
      <protection locked="0"/>
    </xf>
    <xf numFmtId="167" fontId="29" fillId="0" borderId="0" xfId="0" applyNumberFormat="1" applyFont="1" applyAlignment="1" applyProtection="1">
      <alignment vertical="center"/>
      <protection locked="0"/>
    </xf>
    <xf numFmtId="0" fontId="9" fillId="0" borderId="0" xfId="0" applyFont="1" applyAlignment="1" applyProtection="1">
      <alignment vertical="center" wrapText="1"/>
      <protection locked="0"/>
    </xf>
    <xf numFmtId="0" fontId="11" fillId="0" borderId="0" xfId="0" applyFont="1" applyAlignment="1" applyProtection="1">
      <alignment vertical="center" wrapText="1"/>
      <protection locked="0"/>
    </xf>
    <xf numFmtId="9" fontId="11" fillId="0" borderId="0" xfId="0" applyNumberFormat="1"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33" fillId="0" borderId="0" xfId="0" applyFont="1" applyAlignment="1" applyProtection="1">
      <alignment horizontal="center" vertical="center" wrapText="1"/>
      <protection locked="0"/>
    </xf>
    <xf numFmtId="0" fontId="11" fillId="0" borderId="2" xfId="0" applyFont="1" applyBorder="1" applyAlignment="1" applyProtection="1">
      <alignment horizontal="center" vertical="center"/>
      <protection locked="0"/>
    </xf>
    <xf numFmtId="0" fontId="7" fillId="0" borderId="0" xfId="0" applyFont="1"/>
    <xf numFmtId="0" fontId="11" fillId="5" borderId="2" xfId="0" applyFont="1" applyFill="1" applyBorder="1" applyAlignment="1" applyProtection="1">
      <alignment horizontal="center" vertical="center"/>
      <protection locked="0"/>
    </xf>
    <xf numFmtId="0" fontId="29" fillId="5" borderId="2" xfId="0" applyFont="1" applyFill="1" applyBorder="1" applyAlignment="1" applyProtection="1">
      <alignment horizontal="center" vertical="center"/>
      <protection locked="0"/>
    </xf>
    <xf numFmtId="0" fontId="0" fillId="0" borderId="14" xfId="0" applyBorder="1" applyAlignment="1">
      <alignment vertical="center" wrapText="1"/>
    </xf>
    <xf numFmtId="0" fontId="11" fillId="0" borderId="2" xfId="0" applyFont="1" applyBorder="1" applyAlignment="1" applyProtection="1">
      <alignment vertical="center" wrapText="1"/>
      <protection locked="0"/>
    </xf>
    <xf numFmtId="0" fontId="29" fillId="5" borderId="10" xfId="0" applyFont="1" applyFill="1" applyBorder="1" applyAlignment="1" applyProtection="1">
      <alignment horizontal="center" vertical="center"/>
      <protection locked="0"/>
    </xf>
    <xf numFmtId="0" fontId="38" fillId="7" borderId="0" xfId="0" applyFont="1" applyFill="1" applyProtection="1">
      <protection locked="0"/>
    </xf>
    <xf numFmtId="0" fontId="39" fillId="2" borderId="0" xfId="0" applyFont="1" applyFill="1" applyAlignment="1" applyProtection="1">
      <alignment horizontal="center" vertical="center" wrapText="1"/>
      <protection locked="0"/>
    </xf>
    <xf numFmtId="0" fontId="38" fillId="2" borderId="0" xfId="0" applyFont="1" applyFill="1" applyProtection="1">
      <protection locked="0"/>
    </xf>
    <xf numFmtId="0" fontId="40" fillId="7" borderId="0" xfId="0" applyFont="1" applyFill="1" applyAlignment="1" applyProtection="1">
      <alignment horizontal="center" vertical="center" wrapText="1"/>
      <protection locked="0"/>
    </xf>
    <xf numFmtId="0" fontId="5" fillId="0" borderId="0" xfId="0" applyFont="1" applyAlignment="1">
      <alignment wrapText="1"/>
    </xf>
    <xf numFmtId="0" fontId="4" fillId="0" borderId="0" xfId="0" applyFont="1" applyAlignment="1">
      <alignment wrapText="1"/>
    </xf>
    <xf numFmtId="0" fontId="30" fillId="0" borderId="0" xfId="0" applyFont="1"/>
    <xf numFmtId="0" fontId="3" fillId="0" borderId="0" xfId="0" applyFont="1" applyAlignment="1">
      <alignment vertical="center" wrapText="1"/>
    </xf>
    <xf numFmtId="0" fontId="30" fillId="0" borderId="0" xfId="0" applyFont="1" applyAlignment="1">
      <alignment vertical="center" wrapText="1"/>
    </xf>
    <xf numFmtId="166" fontId="3" fillId="0" borderId="0" xfId="0" applyNumberFormat="1" applyFont="1" applyAlignment="1">
      <alignment vertical="center" wrapText="1"/>
    </xf>
    <xf numFmtId="2" fontId="3" fillId="0" borderId="0" xfId="0" applyNumberFormat="1" applyFont="1" applyAlignment="1">
      <alignment vertical="center" wrapText="1"/>
    </xf>
    <xf numFmtId="2" fontId="32" fillId="0" borderId="0" xfId="0" applyNumberFormat="1" applyFont="1"/>
    <xf numFmtId="0" fontId="3" fillId="0" borderId="0" xfId="0" applyFont="1"/>
    <xf numFmtId="0" fontId="0" fillId="0" borderId="0" xfId="0" applyAlignment="1">
      <alignment horizontal="left" wrapText="1"/>
    </xf>
    <xf numFmtId="9" fontId="0" fillId="0" borderId="0" xfId="0" applyNumberFormat="1"/>
    <xf numFmtId="0" fontId="5" fillId="3" borderId="0" xfId="0" applyFont="1" applyFill="1" applyAlignment="1">
      <alignment horizontal="center" vertical="center" wrapText="1"/>
    </xf>
    <xf numFmtId="0" fontId="28" fillId="0" borderId="0" xfId="0" applyFont="1"/>
    <xf numFmtId="0" fontId="49" fillId="0" borderId="0" xfId="0" applyFont="1"/>
    <xf numFmtId="0" fontId="50" fillId="0" borderId="0" xfId="0" applyFont="1"/>
    <xf numFmtId="0" fontId="51" fillId="0" borderId="0" xfId="0" applyFont="1"/>
    <xf numFmtId="0" fontId="48" fillId="0" borderId="0" xfId="0" applyFont="1"/>
    <xf numFmtId="0" fontId="0" fillId="11" borderId="0" xfId="0" applyFill="1"/>
    <xf numFmtId="16" fontId="0" fillId="0" borderId="0" xfId="0" applyNumberFormat="1"/>
    <xf numFmtId="0" fontId="52" fillId="0" borderId="0" xfId="0" applyFont="1"/>
    <xf numFmtId="2" fontId="0" fillId="0" borderId="0" xfId="8" applyNumberFormat="1" applyFont="1" applyAlignment="1">
      <alignment vertical="center" wrapText="1"/>
    </xf>
    <xf numFmtId="2" fontId="0" fillId="0" borderId="0" xfId="8" applyNumberFormat="1" applyFont="1" applyFill="1"/>
    <xf numFmtId="2" fontId="48" fillId="0" borderId="0" xfId="8" applyNumberFormat="1" applyFont="1" applyFill="1"/>
    <xf numFmtId="2" fontId="50" fillId="0" borderId="0" xfId="8" applyNumberFormat="1" applyFont="1" applyFill="1"/>
    <xf numFmtId="2" fontId="0" fillId="0" borderId="0" xfId="8" applyNumberFormat="1" applyFont="1"/>
    <xf numFmtId="49" fontId="0" fillId="0" borderId="0" xfId="8" applyNumberFormat="1" applyFont="1" applyFill="1"/>
    <xf numFmtId="0" fontId="3" fillId="6" borderId="0" xfId="0" applyFont="1" applyFill="1" applyAlignment="1">
      <alignment vertical="center" wrapText="1"/>
    </xf>
    <xf numFmtId="0" fontId="3" fillId="3" borderId="0" xfId="0" applyFont="1" applyFill="1" applyAlignment="1">
      <alignment wrapText="1"/>
    </xf>
    <xf numFmtId="0" fontId="0" fillId="5" borderId="0" xfId="0" applyFill="1"/>
    <xf numFmtId="0" fontId="54" fillId="3" borderId="0" xfId="0" applyFont="1" applyFill="1" applyAlignment="1">
      <alignment vertical="center" wrapText="1"/>
    </xf>
    <xf numFmtId="0" fontId="0" fillId="3" borderId="0" xfId="0" applyFill="1" applyAlignment="1">
      <alignment vertical="center" wrapText="1"/>
    </xf>
    <xf numFmtId="0" fontId="0" fillId="0" borderId="2" xfId="0" applyBorder="1" applyAlignment="1">
      <alignment wrapText="1"/>
    </xf>
    <xf numFmtId="0" fontId="0" fillId="0" borderId="2" xfId="0" applyBorder="1"/>
    <xf numFmtId="0" fontId="13" fillId="3" borderId="49" xfId="0" applyFont="1" applyFill="1" applyBorder="1" applyAlignment="1">
      <alignment vertical="center"/>
    </xf>
    <xf numFmtId="0" fontId="13" fillId="3" borderId="47" xfId="0" applyFont="1" applyFill="1" applyBorder="1" applyAlignment="1">
      <alignment vertical="center" wrapText="1"/>
    </xf>
    <xf numFmtId="0" fontId="13" fillId="3" borderId="51" xfId="0" applyFont="1" applyFill="1" applyBorder="1" applyAlignment="1">
      <alignment wrapText="1"/>
    </xf>
    <xf numFmtId="0" fontId="0" fillId="3" borderId="0" xfId="0" applyFill="1" applyAlignment="1">
      <alignment vertical="center"/>
    </xf>
    <xf numFmtId="0" fontId="0" fillId="3" borderId="0" xfId="0" applyFill="1" applyAlignment="1">
      <alignment horizontal="left" wrapText="1"/>
    </xf>
    <xf numFmtId="0" fontId="5" fillId="3" borderId="0" xfId="0" applyFont="1" applyFill="1" applyAlignment="1" applyProtection="1">
      <alignment horizontal="center" vertical="center"/>
      <protection locked="0"/>
    </xf>
    <xf numFmtId="0" fontId="42" fillId="0" borderId="0" xfId="0" applyFont="1" applyAlignment="1" applyProtection="1">
      <alignment vertical="center" wrapText="1"/>
      <protection locked="0"/>
    </xf>
    <xf numFmtId="0" fontId="42" fillId="3" borderId="0" xfId="0" applyFont="1" applyFill="1" applyAlignment="1" applyProtection="1">
      <alignment vertical="center" wrapText="1"/>
      <protection locked="0"/>
    </xf>
    <xf numFmtId="0" fontId="40" fillId="7" borderId="0" xfId="0" applyFont="1" applyFill="1" applyAlignment="1" applyProtection="1">
      <alignment vertical="center" wrapText="1"/>
      <protection locked="0"/>
    </xf>
    <xf numFmtId="0" fontId="7" fillId="3" borderId="0" xfId="0" applyFont="1" applyFill="1" applyProtection="1">
      <protection locked="0"/>
    </xf>
    <xf numFmtId="0" fontId="7" fillId="3" borderId="0" xfId="0" applyFont="1" applyFill="1" applyAlignment="1" applyProtection="1">
      <alignment vertical="center"/>
      <protection locked="0"/>
    </xf>
    <xf numFmtId="0" fontId="42" fillId="5" borderId="0" xfId="0" applyFont="1" applyFill="1" applyAlignment="1" applyProtection="1">
      <alignment vertical="center" wrapText="1"/>
      <protection locked="0"/>
    </xf>
    <xf numFmtId="0" fontId="11" fillId="3" borderId="0" xfId="0" applyFont="1" applyFill="1" applyAlignment="1">
      <alignment horizontal="center" vertical="center" wrapText="1"/>
    </xf>
    <xf numFmtId="0" fontId="41" fillId="7" borderId="0" xfId="0" applyFont="1" applyFill="1" applyAlignment="1" applyProtection="1">
      <alignment vertical="center"/>
      <protection locked="0"/>
    </xf>
    <xf numFmtId="0" fontId="39" fillId="3" borderId="0" xfId="0" applyFont="1" applyFill="1" applyAlignment="1" applyProtection="1">
      <alignment horizontal="center" vertical="center" wrapText="1"/>
      <protection locked="0"/>
    </xf>
    <xf numFmtId="165" fontId="7" fillId="3" borderId="0" xfId="0" applyNumberFormat="1" applyFont="1" applyFill="1" applyProtection="1">
      <protection locked="0"/>
    </xf>
    <xf numFmtId="9" fontId="0" fillId="0" borderId="0" xfId="1" applyFont="1"/>
    <xf numFmtId="0" fontId="19" fillId="2" borderId="0" xfId="0" applyFont="1" applyFill="1" applyAlignment="1" applyProtection="1">
      <alignment horizontal="left" vertical="center" wrapText="1"/>
      <protection locked="0"/>
    </xf>
    <xf numFmtId="0" fontId="19" fillId="2" borderId="0" xfId="0" applyFont="1" applyFill="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19" fillId="3" borderId="0" xfId="0" applyFont="1" applyFill="1" applyBorder="1" applyAlignment="1" applyProtection="1">
      <alignment horizontal="center" vertical="center"/>
      <protection locked="0"/>
    </xf>
    <xf numFmtId="9" fontId="11" fillId="0" borderId="10" xfId="1" applyFont="1" applyBorder="1" applyAlignment="1" applyProtection="1">
      <alignment horizontal="center" vertical="center"/>
      <protection locked="0"/>
    </xf>
    <xf numFmtId="0" fontId="11" fillId="3" borderId="0" xfId="0" applyFont="1" applyFill="1" applyAlignment="1" applyProtection="1">
      <alignment vertical="center" wrapText="1"/>
      <protection locked="0"/>
    </xf>
    <xf numFmtId="9" fontId="29" fillId="5" borderId="10" xfId="1" applyFont="1" applyFill="1" applyBorder="1" applyAlignment="1" applyProtection="1">
      <alignment horizontal="center" vertical="center"/>
      <protection locked="0"/>
    </xf>
    <xf numFmtId="0" fontId="66" fillId="7" borderId="0" xfId="0" applyFont="1" applyFill="1" applyBorder="1" applyAlignment="1" applyProtection="1">
      <alignment vertical="center" wrapText="1"/>
      <protection locked="0"/>
    </xf>
    <xf numFmtId="0" fontId="14" fillId="7" borderId="0" xfId="0" applyFont="1" applyFill="1" applyBorder="1" applyAlignment="1" applyProtection="1">
      <alignment vertical="center"/>
      <protection locked="0"/>
    </xf>
    <xf numFmtId="0" fontId="14" fillId="7" borderId="0" xfId="0" applyFont="1" applyFill="1" applyAlignment="1" applyProtection="1">
      <alignment vertical="center" wrapText="1"/>
      <protection locked="0"/>
    </xf>
    <xf numFmtId="0" fontId="7" fillId="7" borderId="0"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11" fillId="0" borderId="0" xfId="0" applyFont="1" applyAlignment="1" applyProtection="1">
      <alignment vertical="center"/>
      <protection locked="0"/>
    </xf>
    <xf numFmtId="0" fontId="40" fillId="7" borderId="0" xfId="0" applyFont="1" applyFill="1" applyAlignment="1" applyProtection="1">
      <alignment horizontal="left" vertical="center" wrapText="1"/>
      <protection locked="0"/>
    </xf>
    <xf numFmtId="0" fontId="19" fillId="2" borderId="0" xfId="0" applyFont="1" applyFill="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72" fillId="2" borderId="0" xfId="0" applyFont="1" applyFill="1" applyAlignment="1" applyProtection="1">
      <alignment vertical="center"/>
      <protection locked="0"/>
    </xf>
    <xf numFmtId="0" fontId="0" fillId="5" borderId="0" xfId="0" applyFill="1" applyBorder="1"/>
    <xf numFmtId="0" fontId="6" fillId="3" borderId="0" xfId="0" applyFont="1" applyFill="1" applyAlignment="1" applyProtection="1">
      <alignment horizontal="left" vertical="center"/>
      <protection locked="0"/>
    </xf>
    <xf numFmtId="2" fontId="11" fillId="0" borderId="10" xfId="8" applyNumberFormat="1" applyFont="1" applyBorder="1" applyAlignment="1" applyProtection="1">
      <alignment horizontal="center" vertical="center"/>
      <protection locked="0"/>
    </xf>
    <xf numFmtId="0" fontId="7" fillId="5" borderId="11" xfId="0" applyFont="1" applyFill="1" applyBorder="1" applyAlignment="1" applyProtection="1">
      <alignment horizontal="center" vertical="center"/>
      <protection locked="0"/>
    </xf>
    <xf numFmtId="0" fontId="7" fillId="5" borderId="12" xfId="0" applyFont="1" applyFill="1" applyBorder="1" applyAlignment="1" applyProtection="1">
      <alignment horizontal="center" vertical="center"/>
      <protection locked="0"/>
    </xf>
    <xf numFmtId="2" fontId="11" fillId="0" borderId="11" xfId="8" applyNumberFormat="1" applyFont="1" applyBorder="1" applyAlignment="1" applyProtection="1">
      <alignment horizontal="center" vertical="center"/>
      <protection locked="0"/>
    </xf>
    <xf numFmtId="0" fontId="7" fillId="0" borderId="0" xfId="0" applyFont="1" applyFill="1" applyProtection="1">
      <protection locked="0"/>
    </xf>
    <xf numFmtId="0" fontId="7" fillId="0" borderId="0" xfId="0" applyFont="1" applyFill="1" applyAlignment="1" applyProtection="1">
      <alignment vertical="center"/>
      <protection locked="0"/>
    </xf>
    <xf numFmtId="0" fontId="11" fillId="0" borderId="0" xfId="0" applyFont="1" applyFill="1" applyAlignment="1">
      <alignment horizontal="center" vertical="center" wrapText="1"/>
    </xf>
    <xf numFmtId="0" fontId="11" fillId="0" borderId="0" xfId="0" applyFont="1" applyFill="1" applyAlignment="1" applyProtection="1">
      <alignment horizontal="center" vertical="center"/>
      <protection locked="0"/>
    </xf>
    <xf numFmtId="1" fontId="11" fillId="0" borderId="0" xfId="0" applyNumberFormat="1" applyFont="1" applyFill="1" applyAlignment="1">
      <alignment horizontal="center" vertical="center" wrapText="1"/>
    </xf>
    <xf numFmtId="165" fontId="7" fillId="0" borderId="0" xfId="0" applyNumberFormat="1" applyFont="1" applyFill="1" applyProtection="1">
      <protection locked="0"/>
    </xf>
    <xf numFmtId="0" fontId="7" fillId="0" borderId="0" xfId="0" applyFont="1" applyFill="1"/>
    <xf numFmtId="165" fontId="11" fillId="0" borderId="0" xfId="0" applyNumberFormat="1" applyFont="1" applyFill="1" applyAlignment="1" applyProtection="1">
      <alignment horizontal="center" vertical="center"/>
      <protection locked="0"/>
    </xf>
    <xf numFmtId="2" fontId="11" fillId="0" borderId="0" xfId="0" applyNumberFormat="1" applyFont="1" applyFill="1" applyAlignment="1">
      <alignment horizontal="center" vertical="center" wrapText="1"/>
    </xf>
    <xf numFmtId="0" fontId="10" fillId="0" borderId="0" xfId="0" applyFont="1" applyFill="1" applyAlignment="1" applyProtection="1">
      <alignment vertical="center" wrapText="1"/>
      <protection locked="0"/>
    </xf>
    <xf numFmtId="0" fontId="11" fillId="0" borderId="24" xfId="0" applyFont="1" applyBorder="1" applyAlignment="1" applyProtection="1">
      <alignment horizontal="center" vertical="center"/>
      <protection locked="0"/>
    </xf>
    <xf numFmtId="165" fontId="11" fillId="3" borderId="0" xfId="0" applyNumberFormat="1" applyFont="1" applyFill="1" applyAlignment="1" applyProtection="1">
      <alignment horizontal="center" vertical="center"/>
      <protection locked="0"/>
    </xf>
    <xf numFmtId="2" fontId="11" fillId="3" borderId="0" xfId="0" applyNumberFormat="1" applyFont="1" applyFill="1" applyAlignment="1">
      <alignment horizontal="center" vertical="center" wrapText="1"/>
    </xf>
    <xf numFmtId="167" fontId="11" fillId="3" borderId="0" xfId="0" applyNumberFormat="1" applyFont="1" applyFill="1" applyAlignment="1" applyProtection="1">
      <alignment vertical="center"/>
      <protection locked="0"/>
    </xf>
    <xf numFmtId="0" fontId="7" fillId="3" borderId="0" xfId="0" applyFont="1" applyFill="1" applyBorder="1" applyAlignment="1" applyProtection="1">
      <alignment horizontal="center" vertical="center"/>
      <protection locked="0"/>
    </xf>
    <xf numFmtId="167" fontId="29" fillId="3" borderId="0" xfId="0" applyNumberFormat="1" applyFont="1" applyFill="1" applyBorder="1" applyAlignment="1" applyProtection="1">
      <alignment horizontal="center" vertical="center"/>
      <protection locked="0"/>
    </xf>
    <xf numFmtId="0" fontId="71" fillId="3" borderId="0" xfId="0" applyFont="1" applyFill="1" applyBorder="1" applyAlignment="1" applyProtection="1">
      <alignment horizontal="center" vertical="center" wrapText="1"/>
      <protection locked="0"/>
    </xf>
    <xf numFmtId="9" fontId="9" fillId="3" borderId="0" xfId="1" applyFont="1" applyFill="1" applyBorder="1" applyAlignment="1" applyProtection="1">
      <alignment horizontal="center" vertical="center"/>
      <protection locked="0"/>
    </xf>
    <xf numFmtId="9" fontId="29" fillId="3" borderId="0" xfId="1" applyFont="1" applyFill="1" applyBorder="1" applyAlignment="1" applyProtection="1">
      <alignment horizontal="left" vertical="center"/>
      <protection locked="0"/>
    </xf>
    <xf numFmtId="0" fontId="19" fillId="2" borderId="48"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1" fillId="5" borderId="2" xfId="0" applyFont="1" applyFill="1" applyBorder="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9" fontId="11" fillId="3" borderId="0" xfId="0" applyNumberFormat="1" applyFont="1" applyFill="1" applyAlignment="1" applyProtection="1">
      <alignment horizontal="center" vertical="center"/>
      <protection locked="0"/>
    </xf>
    <xf numFmtId="0" fontId="58" fillId="0" borderId="2" xfId="0" applyFont="1" applyBorder="1" applyAlignment="1" applyProtection="1">
      <alignment horizontal="left" vertical="center" wrapText="1"/>
      <protection locked="0"/>
    </xf>
    <xf numFmtId="0" fontId="58" fillId="0" borderId="11" xfId="0" applyFont="1" applyBorder="1" applyAlignment="1" applyProtection="1">
      <alignment horizontal="left" vertical="center" wrapText="1"/>
      <protection locked="0"/>
    </xf>
    <xf numFmtId="0" fontId="40" fillId="7"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60" fillId="3" borderId="49" xfId="0" applyFont="1" applyFill="1" applyBorder="1" applyAlignment="1" applyProtection="1">
      <alignment vertical="center" wrapText="1"/>
      <protection locked="0"/>
    </xf>
    <xf numFmtId="0" fontId="60" fillId="3" borderId="47" xfId="0" applyFont="1" applyFill="1" applyBorder="1" applyAlignment="1" applyProtection="1">
      <alignment vertical="center" wrapText="1"/>
      <protection locked="0"/>
    </xf>
    <xf numFmtId="0" fontId="60" fillId="3" borderId="51" xfId="0" applyFont="1" applyFill="1" applyBorder="1" applyAlignment="1" applyProtection="1">
      <alignment vertical="center" wrapText="1"/>
      <protection locked="0"/>
    </xf>
    <xf numFmtId="0" fontId="60" fillId="3" borderId="7" xfId="0" applyFont="1" applyFill="1" applyBorder="1" applyAlignment="1" applyProtection="1">
      <alignment horizontal="left" vertical="center" wrapText="1"/>
      <protection locked="0"/>
    </xf>
    <xf numFmtId="0" fontId="58" fillId="0" borderId="8" xfId="0" applyFont="1" applyBorder="1" applyAlignment="1" applyProtection="1">
      <alignment horizontal="left" vertical="center" wrapText="1"/>
      <protection locked="0"/>
    </xf>
    <xf numFmtId="14" fontId="58" fillId="0" borderId="9" xfId="0" applyNumberFormat="1" applyFont="1" applyBorder="1" applyAlignment="1" applyProtection="1">
      <alignment horizontal="left" vertical="center" wrapText="1"/>
      <protection locked="0"/>
    </xf>
    <xf numFmtId="0" fontId="60" fillId="3" borderId="27" xfId="0" applyFont="1" applyFill="1" applyBorder="1" applyAlignment="1" applyProtection="1">
      <alignment horizontal="left" vertical="center" wrapText="1"/>
      <protection locked="0"/>
    </xf>
    <xf numFmtId="14" fontId="58" fillId="0" borderId="40" xfId="0" applyNumberFormat="1" applyFont="1" applyBorder="1" applyAlignment="1" applyProtection="1">
      <alignment horizontal="left" vertical="center" wrapText="1"/>
      <protection locked="0"/>
    </xf>
    <xf numFmtId="0" fontId="60" fillId="3" borderId="10" xfId="0" applyFont="1" applyFill="1" applyBorder="1" applyAlignment="1" applyProtection="1">
      <alignment horizontal="left" vertical="center" wrapText="1"/>
      <protection locked="0"/>
    </xf>
    <xf numFmtId="14" fontId="58" fillId="0" borderId="12" xfId="0" applyNumberFormat="1" applyFont="1" applyBorder="1" applyAlignment="1" applyProtection="1">
      <alignment horizontal="left" vertical="center" wrapText="1"/>
      <protection locked="0"/>
    </xf>
    <xf numFmtId="9" fontId="19" fillId="2" borderId="0" xfId="0" applyNumberFormat="1" applyFont="1" applyFill="1" applyAlignment="1" applyProtection="1">
      <alignment horizontal="center" vertical="center"/>
      <protection locked="0"/>
    </xf>
    <xf numFmtId="0" fontId="84" fillId="0" borderId="0" xfId="0" applyFont="1" applyFill="1"/>
    <xf numFmtId="0" fontId="0" fillId="0" borderId="0" xfId="0" applyFill="1"/>
    <xf numFmtId="0" fontId="0" fillId="0" borderId="0" xfId="0" applyNumberFormat="1" applyFill="1"/>
    <xf numFmtId="2" fontId="85" fillId="0" borderId="0" xfId="8" applyNumberFormat="1" applyFont="1" applyFill="1"/>
    <xf numFmtId="0" fontId="0" fillId="0" borderId="0" xfId="0" applyProtection="1">
      <protection locked="0"/>
    </xf>
    <xf numFmtId="0" fontId="0" fillId="3" borderId="0" xfId="0" applyFill="1" applyProtection="1">
      <protection locked="0"/>
    </xf>
    <xf numFmtId="0" fontId="4" fillId="3" borderId="0" xfId="0" applyFont="1" applyFill="1" applyProtection="1">
      <protection locked="0"/>
    </xf>
    <xf numFmtId="0" fontId="0" fillId="3" borderId="0" xfId="0" applyFill="1" applyAlignment="1" applyProtection="1">
      <alignment wrapText="1"/>
      <protection locked="0"/>
    </xf>
    <xf numFmtId="0" fontId="4" fillId="3" borderId="0" xfId="0" applyFont="1" applyFill="1" applyAlignment="1" applyProtection="1">
      <alignment wrapText="1"/>
      <protection locked="0"/>
    </xf>
    <xf numFmtId="0" fontId="3" fillId="3" borderId="0" xfId="0" applyFont="1" applyFill="1" applyAlignment="1" applyProtection="1">
      <alignment vertical="center" wrapText="1"/>
      <protection locked="0"/>
    </xf>
    <xf numFmtId="0" fontId="30" fillId="9" borderId="0" xfId="0" applyFont="1" applyFill="1" applyAlignment="1" applyProtection="1">
      <alignment vertical="center" wrapText="1"/>
      <protection locked="0"/>
    </xf>
    <xf numFmtId="0" fontId="3" fillId="6" borderId="0" xfId="0" applyFont="1" applyFill="1" applyAlignment="1" applyProtection="1">
      <alignment vertical="center" wrapText="1"/>
      <protection locked="0"/>
    </xf>
    <xf numFmtId="166" fontId="3" fillId="6" borderId="0" xfId="0" applyNumberFormat="1" applyFont="1" applyFill="1" applyAlignment="1" applyProtection="1">
      <alignment vertical="center" wrapText="1"/>
      <protection locked="0"/>
    </xf>
    <xf numFmtId="2" fontId="3" fillId="6" borderId="0" xfId="0" applyNumberFormat="1" applyFont="1" applyFill="1" applyAlignment="1" applyProtection="1">
      <alignment vertical="center" wrapText="1"/>
      <protection locked="0"/>
    </xf>
    <xf numFmtId="2" fontId="32" fillId="6" borderId="2" xfId="0" applyNumberFormat="1" applyFont="1" applyFill="1" applyBorder="1" applyProtection="1">
      <protection locked="0"/>
    </xf>
    <xf numFmtId="0" fontId="4" fillId="2" borderId="0" xfId="0" applyFont="1" applyFill="1" applyProtection="1">
      <protection locked="0"/>
    </xf>
    <xf numFmtId="0" fontId="3" fillId="3" borderId="0" xfId="0" applyFont="1" applyFill="1" applyProtection="1">
      <protection locked="0"/>
    </xf>
    <xf numFmtId="0" fontId="4" fillId="0" borderId="0" xfId="0" applyFont="1" applyProtection="1">
      <protection locked="0"/>
    </xf>
    <xf numFmtId="0" fontId="0" fillId="0" borderId="0" xfId="0" applyAlignment="1" applyProtection="1">
      <alignment wrapText="1"/>
      <protection locked="0"/>
    </xf>
    <xf numFmtId="0" fontId="5" fillId="0" borderId="0" xfId="0" applyFont="1" applyAlignment="1" applyProtection="1">
      <alignment wrapText="1"/>
      <protection locked="0"/>
    </xf>
    <xf numFmtId="0" fontId="4" fillId="0" borderId="0" xfId="0" applyFont="1" applyAlignment="1" applyProtection="1">
      <alignment wrapText="1"/>
      <protection locked="0"/>
    </xf>
    <xf numFmtId="0" fontId="4" fillId="2" borderId="0" xfId="0" applyFont="1" applyFill="1" applyAlignment="1" applyProtection="1">
      <alignmen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0" fillId="0" borderId="0" xfId="0" applyFont="1" applyProtection="1">
      <protection locked="0"/>
    </xf>
    <xf numFmtId="0" fontId="3" fillId="0" borderId="0" xfId="0" applyFont="1" applyAlignment="1" applyProtection="1">
      <alignment vertical="center" wrapText="1"/>
      <protection locked="0"/>
    </xf>
    <xf numFmtId="0" fontId="30" fillId="0" borderId="0" xfId="0" applyFont="1" applyAlignment="1" applyProtection="1">
      <alignment vertical="center" wrapText="1"/>
      <protection locked="0"/>
    </xf>
    <xf numFmtId="166" fontId="3" fillId="0" borderId="0" xfId="0" applyNumberFormat="1" applyFont="1" applyAlignment="1" applyProtection="1">
      <alignment vertical="center" wrapText="1"/>
      <protection locked="0"/>
    </xf>
    <xf numFmtId="2" fontId="3" fillId="0" borderId="0" xfId="0" applyNumberFormat="1" applyFont="1" applyAlignment="1" applyProtection="1">
      <alignment vertical="center" wrapText="1"/>
      <protection locked="0"/>
    </xf>
    <xf numFmtId="0" fontId="4" fillId="0" borderId="0" xfId="0" applyFont="1" applyAlignment="1" applyProtection="1">
      <alignment horizontal="left"/>
      <protection locked="0"/>
    </xf>
    <xf numFmtId="0" fontId="3"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31" fillId="0" borderId="0" xfId="0" applyFont="1" applyAlignment="1" applyProtection="1">
      <alignment horizontal="center"/>
      <protection locked="0"/>
    </xf>
    <xf numFmtId="2" fontId="32" fillId="0" borderId="0" xfId="0" applyNumberFormat="1" applyFont="1" applyProtection="1">
      <protection locked="0"/>
    </xf>
    <xf numFmtId="0" fontId="3" fillId="0" borderId="0" xfId="0" applyFont="1" applyProtection="1">
      <protection locked="0"/>
    </xf>
    <xf numFmtId="0" fontId="0" fillId="2" borderId="0" xfId="0" applyFill="1" applyProtection="1">
      <protection locked="0"/>
    </xf>
    <xf numFmtId="0" fontId="27" fillId="0" borderId="0" xfId="5"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3" fillId="0" borderId="0" xfId="0" applyFont="1" applyFill="1" applyAlignment="1" applyProtection="1">
      <alignment vertical="center" wrapText="1"/>
      <protection locked="0"/>
    </xf>
    <xf numFmtId="2" fontId="3" fillId="0" borderId="0" xfId="0" applyNumberFormat="1" applyFont="1" applyFill="1" applyAlignment="1" applyProtection="1">
      <alignment vertical="center" wrapText="1"/>
      <protection locked="0"/>
    </xf>
    <xf numFmtId="0" fontId="19" fillId="2" borderId="0" xfId="0" applyFont="1" applyFill="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0" fontId="7" fillId="5" borderId="14"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7" fillId="2" borderId="0" xfId="0" applyFont="1" applyFill="1" applyBorder="1" applyProtection="1">
      <protection locked="0"/>
    </xf>
    <xf numFmtId="2" fontId="29" fillId="10" borderId="10" xfId="0" applyNumberFormat="1" applyFont="1" applyFill="1" applyBorder="1" applyAlignment="1" applyProtection="1">
      <alignment horizontal="center" vertical="center"/>
      <protection locked="0"/>
    </xf>
    <xf numFmtId="2" fontId="11" fillId="10" borderId="11" xfId="0" applyNumberFormat="1"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1" fontId="7" fillId="2" borderId="0" xfId="0" applyNumberFormat="1" applyFont="1" applyFill="1" applyProtection="1">
      <protection locked="0"/>
    </xf>
    <xf numFmtId="0" fontId="0" fillId="5" borderId="0" xfId="0" applyFont="1" applyFill="1"/>
    <xf numFmtId="0" fontId="98" fillId="2" borderId="0" xfId="0" applyFont="1" applyFill="1" applyProtection="1">
      <protection locked="0"/>
    </xf>
    <xf numFmtId="0" fontId="0" fillId="2" borderId="0" xfId="0" applyFont="1" applyFill="1" applyAlignment="1">
      <alignment vertical="center"/>
    </xf>
    <xf numFmtId="0" fontId="101" fillId="7" borderId="0" xfId="0" applyFont="1" applyFill="1" applyAlignment="1" applyProtection="1">
      <alignment vertical="center" wrapText="1"/>
      <protection locked="0"/>
    </xf>
    <xf numFmtId="0" fontId="0" fillId="3" borderId="0" xfId="0" applyFont="1" applyFill="1" applyAlignment="1">
      <alignment vertical="center"/>
    </xf>
    <xf numFmtId="0" fontId="0" fillId="0" borderId="0" xfId="0" applyFont="1" applyAlignment="1">
      <alignment vertical="center"/>
    </xf>
    <xf numFmtId="0" fontId="0" fillId="0" borderId="0" xfId="0" applyFont="1"/>
    <xf numFmtId="0" fontId="0" fillId="2" borderId="0" xfId="0" applyFont="1" applyFill="1" applyAlignment="1">
      <alignment horizontal="center" vertical="center"/>
    </xf>
    <xf numFmtId="0" fontId="0" fillId="3" borderId="0" xfId="0" applyFont="1" applyFill="1" applyAlignment="1">
      <alignment horizontal="center" vertical="center"/>
    </xf>
    <xf numFmtId="0" fontId="11" fillId="0" borderId="0" xfId="0" applyFont="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left" vertical="center" wrapText="1"/>
      <protection locked="0"/>
    </xf>
    <xf numFmtId="0" fontId="24" fillId="2" borderId="0" xfId="0" applyFont="1" applyFill="1" applyAlignment="1" applyProtection="1">
      <alignment vertical="center"/>
      <protection locked="0"/>
    </xf>
    <xf numFmtId="9" fontId="7" fillId="0" borderId="0" xfId="1" applyFont="1" applyFill="1" applyBorder="1" applyProtection="1">
      <protection locked="0"/>
    </xf>
    <xf numFmtId="2" fontId="11" fillId="0" borderId="0" xfId="0" applyNumberFormat="1" applyFont="1" applyAlignment="1" applyProtection="1">
      <alignment horizontal="center" vertical="center" wrapText="1"/>
      <protection locked="0"/>
    </xf>
    <xf numFmtId="10" fontId="11" fillId="0" borderId="0" xfId="1" applyNumberFormat="1" applyFont="1" applyFill="1" applyBorder="1" applyAlignment="1" applyProtection="1">
      <alignment horizontal="center" vertical="center" wrapText="1"/>
      <protection locked="0"/>
    </xf>
    <xf numFmtId="1" fontId="11" fillId="0" borderId="0" xfId="0" applyNumberFormat="1" applyFont="1" applyAlignment="1" applyProtection="1">
      <alignment horizontal="center" vertical="center" wrapText="1"/>
      <protection locked="0"/>
    </xf>
    <xf numFmtId="0" fontId="7" fillId="2" borderId="0" xfId="0" applyFont="1" applyFill="1" applyProtection="1"/>
    <xf numFmtId="0" fontId="6" fillId="2" borderId="0" xfId="0" applyFont="1" applyFill="1" applyAlignment="1" applyProtection="1">
      <alignment horizontal="left" vertical="center"/>
    </xf>
    <xf numFmtId="0" fontId="57" fillId="7" borderId="0" xfId="0" applyFont="1" applyFill="1" applyAlignment="1" applyProtection="1">
      <alignment vertical="center" wrapText="1"/>
    </xf>
    <xf numFmtId="0" fontId="61" fillId="7" borderId="0" xfId="0" applyFont="1" applyFill="1" applyAlignment="1" applyProtection="1">
      <alignment vertical="center" wrapText="1"/>
    </xf>
    <xf numFmtId="0" fontId="68" fillId="7" borderId="0" xfId="0" applyFont="1" applyFill="1" applyAlignment="1" applyProtection="1">
      <alignment vertical="center" wrapText="1"/>
    </xf>
    <xf numFmtId="0" fontId="7" fillId="7" borderId="0" xfId="0" applyFont="1" applyFill="1" applyAlignment="1" applyProtection="1">
      <alignment vertical="center"/>
    </xf>
    <xf numFmtId="0" fontId="76" fillId="7" borderId="0" xfId="0" applyFont="1" applyFill="1" applyAlignment="1" applyProtection="1">
      <alignment vertical="center" wrapText="1"/>
    </xf>
    <xf numFmtId="167" fontId="78" fillId="0" borderId="43" xfId="0" applyNumberFormat="1" applyFont="1" applyFill="1" applyBorder="1" applyAlignment="1" applyProtection="1">
      <alignment horizontal="center" vertical="center" wrapText="1"/>
    </xf>
    <xf numFmtId="0" fontId="64" fillId="7" borderId="0" xfId="0" applyFont="1" applyFill="1" applyAlignment="1" applyProtection="1">
      <alignment vertical="center" wrapText="1"/>
    </xf>
    <xf numFmtId="0" fontId="43" fillId="10" borderId="38" xfId="0" applyFont="1" applyFill="1" applyBorder="1" applyAlignment="1" applyProtection="1">
      <alignment horizontal="center" vertical="center" wrapText="1"/>
    </xf>
    <xf numFmtId="0" fontId="62" fillId="7" borderId="0" xfId="0" applyFont="1" applyFill="1" applyAlignment="1" applyProtection="1">
      <alignment horizontal="left" vertical="center" wrapText="1"/>
    </xf>
    <xf numFmtId="0" fontId="79" fillId="7" borderId="0" xfId="0" applyFont="1" applyFill="1" applyAlignment="1" applyProtection="1">
      <alignment horizontal="left" vertical="center" wrapText="1"/>
    </xf>
    <xf numFmtId="10" fontId="80" fillId="0" borderId="43" xfId="1" applyNumberFormat="1" applyFont="1" applyFill="1" applyBorder="1" applyAlignment="1" applyProtection="1">
      <alignment horizontal="center" vertical="center" wrapText="1"/>
    </xf>
    <xf numFmtId="0" fontId="68" fillId="7" borderId="25" xfId="0" applyFont="1" applyFill="1" applyBorder="1" applyAlignment="1" applyProtection="1">
      <alignment horizontal="center" vertical="center" wrapText="1"/>
    </xf>
    <xf numFmtId="9" fontId="74" fillId="7" borderId="26" xfId="0" applyNumberFormat="1" applyFont="1" applyFill="1" applyBorder="1" applyAlignment="1" applyProtection="1">
      <alignment horizontal="center" vertical="center" wrapText="1"/>
    </xf>
    <xf numFmtId="169" fontId="74" fillId="7" borderId="26" xfId="8" applyNumberFormat="1" applyFont="1" applyFill="1" applyBorder="1" applyAlignment="1" applyProtection="1">
      <alignment vertical="center" wrapText="1"/>
    </xf>
    <xf numFmtId="169" fontId="74" fillId="7" borderId="0" xfId="8" applyNumberFormat="1" applyFont="1" applyFill="1" applyBorder="1" applyAlignment="1" applyProtection="1">
      <alignment vertical="center" wrapText="1"/>
    </xf>
    <xf numFmtId="0" fontId="7" fillId="3" borderId="0" xfId="0" applyFont="1" applyFill="1" applyAlignment="1" applyProtection="1">
      <alignment vertical="center"/>
    </xf>
    <xf numFmtId="0" fontId="19" fillId="3" borderId="17" xfId="0" applyFont="1" applyFill="1" applyBorder="1" applyAlignment="1" applyProtection="1">
      <alignment horizontal="center" vertical="center" wrapText="1"/>
    </xf>
    <xf numFmtId="0" fontId="65" fillId="7" borderId="17" xfId="0" applyFont="1" applyFill="1" applyBorder="1" applyAlignment="1" applyProtection="1">
      <alignment vertical="center" wrapText="1"/>
    </xf>
    <xf numFmtId="0" fontId="14" fillId="4" borderId="7" xfId="0" applyFont="1" applyFill="1" applyBorder="1" applyAlignment="1" applyProtection="1">
      <alignment horizontal="center" vertical="center" wrapText="1"/>
    </xf>
    <xf numFmtId="0" fontId="14" fillId="4" borderId="8" xfId="0" applyFont="1" applyFill="1" applyBorder="1" applyAlignment="1" applyProtection="1">
      <alignment horizontal="center" vertical="center" wrapText="1"/>
    </xf>
    <xf numFmtId="0" fontId="14" fillId="4" borderId="9" xfId="0" applyFont="1" applyFill="1" applyBorder="1" applyAlignment="1" applyProtection="1">
      <alignment horizontal="center" vertical="center" wrapText="1"/>
    </xf>
    <xf numFmtId="0" fontId="19" fillId="14" borderId="0" xfId="0" applyFont="1" applyFill="1" applyBorder="1" applyAlignment="1" applyProtection="1">
      <alignment horizontal="center" vertical="center" wrapText="1"/>
    </xf>
    <xf numFmtId="0" fontId="14" fillId="4" borderId="23" xfId="0" applyFont="1" applyFill="1" applyBorder="1" applyAlignment="1" applyProtection="1">
      <alignment horizontal="center" vertical="center" wrapText="1"/>
    </xf>
    <xf numFmtId="0" fontId="70" fillId="12" borderId="23" xfId="0" applyFont="1" applyFill="1" applyBorder="1" applyAlignment="1" applyProtection="1">
      <alignment horizontal="center" vertical="center" wrapText="1"/>
    </xf>
    <xf numFmtId="9" fontId="11" fillId="6" borderId="11" xfId="1" applyFont="1" applyFill="1" applyBorder="1" applyAlignment="1" applyProtection="1">
      <alignment horizontal="center" vertical="center"/>
    </xf>
    <xf numFmtId="9" fontId="11" fillId="6" borderId="12" xfId="1" applyFont="1" applyFill="1" applyBorder="1" applyAlignment="1" applyProtection="1">
      <alignment horizontal="center" vertical="center"/>
    </xf>
    <xf numFmtId="167" fontId="11" fillId="6" borderId="24" xfId="0" applyNumberFormat="1" applyFont="1" applyFill="1" applyBorder="1" applyAlignment="1" applyProtection="1">
      <alignment horizontal="center" vertical="center"/>
    </xf>
    <xf numFmtId="0" fontId="71" fillId="13" borderId="24" xfId="0" applyFont="1" applyFill="1" applyBorder="1" applyAlignment="1" applyProtection="1">
      <alignment horizontal="center" vertical="center" wrapText="1"/>
    </xf>
    <xf numFmtId="9" fontId="9" fillId="3" borderId="25" xfId="1" applyFont="1" applyFill="1" applyBorder="1" applyAlignment="1" applyProtection="1">
      <alignment horizontal="center" vertical="center"/>
    </xf>
    <xf numFmtId="167" fontId="9" fillId="3" borderId="25" xfId="0" applyNumberFormat="1" applyFont="1" applyFill="1" applyBorder="1" applyAlignment="1" applyProtection="1">
      <alignment horizontal="center" vertical="center"/>
    </xf>
    <xf numFmtId="9" fontId="9" fillId="3" borderId="0" xfId="1" applyFont="1" applyFill="1" applyBorder="1" applyAlignment="1" applyProtection="1">
      <alignment horizontal="center" vertical="center"/>
    </xf>
    <xf numFmtId="9" fontId="29" fillId="3" borderId="0" xfId="1" applyFont="1" applyFill="1" applyBorder="1" applyAlignment="1" applyProtection="1">
      <alignment horizontal="left" vertical="center"/>
    </xf>
    <xf numFmtId="0" fontId="7" fillId="3" borderId="0" xfId="0" applyFont="1" applyFill="1" applyBorder="1" applyAlignment="1" applyProtection="1">
      <alignment horizontal="center" vertical="center"/>
    </xf>
    <xf numFmtId="167" fontId="29" fillId="3" borderId="0" xfId="0" applyNumberFormat="1" applyFont="1" applyFill="1" applyBorder="1" applyAlignment="1" applyProtection="1">
      <alignment horizontal="center" vertical="center"/>
    </xf>
    <xf numFmtId="0" fontId="71" fillId="3" borderId="0"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8" xfId="0" applyFont="1" applyFill="1" applyBorder="1" applyAlignment="1" applyProtection="1">
      <alignment horizontal="center" vertical="center" wrapText="1"/>
    </xf>
    <xf numFmtId="0" fontId="9" fillId="4" borderId="27"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9" fillId="4" borderId="53" xfId="0" applyFont="1" applyFill="1" applyBorder="1" applyAlignment="1" applyProtection="1">
      <alignment horizontal="center" vertical="center" wrapText="1"/>
    </xf>
    <xf numFmtId="0" fontId="9" fillId="4" borderId="23" xfId="0" applyFont="1" applyFill="1" applyBorder="1" applyAlignment="1" applyProtection="1">
      <alignment horizontal="center" vertical="center" wrapText="1"/>
    </xf>
    <xf numFmtId="10" fontId="11" fillId="6" borderId="10" xfId="1" applyNumberFormat="1" applyFont="1" applyFill="1" applyBorder="1" applyAlignment="1" applyProtection="1">
      <alignment horizontal="center" vertical="center"/>
    </xf>
    <xf numFmtId="167" fontId="11" fillId="6" borderId="54" xfId="0" applyNumberFormat="1" applyFont="1" applyFill="1" applyBorder="1" applyAlignment="1" applyProtection="1">
      <alignment horizontal="center" vertical="center"/>
    </xf>
    <xf numFmtId="0" fontId="70" fillId="12" borderId="42" xfId="0" applyFont="1" applyFill="1" applyBorder="1" applyAlignment="1" applyProtection="1">
      <alignment vertical="center" wrapText="1"/>
    </xf>
    <xf numFmtId="0" fontId="71" fillId="13" borderId="29" xfId="0" applyFont="1" applyFill="1" applyBorder="1" applyAlignment="1" applyProtection="1">
      <alignment vertical="center" wrapText="1"/>
    </xf>
    <xf numFmtId="0" fontId="19" fillId="14" borderId="0" xfId="0" applyFont="1" applyFill="1" applyBorder="1" applyAlignment="1" applyProtection="1">
      <alignment horizontal="center" vertical="center"/>
    </xf>
    <xf numFmtId="0" fontId="14" fillId="4" borderId="53" xfId="0" applyFont="1" applyFill="1" applyBorder="1" applyAlignment="1" applyProtection="1">
      <alignment horizontal="center" vertical="center" wrapText="1"/>
    </xf>
    <xf numFmtId="0" fontId="70" fillId="12" borderId="9" xfId="0" applyFont="1" applyFill="1" applyBorder="1" applyAlignment="1" applyProtection="1">
      <alignment horizontal="center" vertical="center" wrapText="1"/>
    </xf>
    <xf numFmtId="2" fontId="11" fillId="6" borderId="11" xfId="1" applyNumberFormat="1" applyFont="1" applyFill="1" applyBorder="1" applyAlignment="1" applyProtection="1">
      <alignment horizontal="center" vertical="center"/>
    </xf>
    <xf numFmtId="2" fontId="11" fillId="6" borderId="12" xfId="1" applyNumberFormat="1" applyFont="1" applyFill="1" applyBorder="1" applyAlignment="1" applyProtection="1">
      <alignment horizontal="center" vertical="center"/>
    </xf>
    <xf numFmtId="0" fontId="7" fillId="14" borderId="0" xfId="0" applyFont="1" applyFill="1" applyBorder="1" applyAlignment="1" applyProtection="1">
      <alignment horizontal="center" vertical="center"/>
    </xf>
    <xf numFmtId="167" fontId="11" fillId="6" borderId="11" xfId="0" applyNumberFormat="1" applyFont="1" applyFill="1" applyBorder="1" applyAlignment="1" applyProtection="1">
      <alignment horizontal="center" vertical="center"/>
    </xf>
    <xf numFmtId="0" fontId="71" fillId="13" borderId="12" xfId="0" applyFont="1" applyFill="1" applyBorder="1" applyAlignment="1" applyProtection="1">
      <alignment horizontal="center" vertical="center" wrapText="1"/>
    </xf>
    <xf numFmtId="167" fontId="75" fillId="7" borderId="43" xfId="0" applyNumberFormat="1" applyFont="1" applyFill="1" applyBorder="1" applyAlignment="1" applyProtection="1">
      <alignment vertical="center" wrapText="1"/>
    </xf>
    <xf numFmtId="167" fontId="75" fillId="7" borderId="0" xfId="0" applyNumberFormat="1" applyFont="1" applyFill="1" applyBorder="1" applyAlignment="1" applyProtection="1">
      <alignment vertical="center" wrapText="1"/>
    </xf>
    <xf numFmtId="0" fontId="19" fillId="3" borderId="0" xfId="0" applyFont="1" applyFill="1" applyAlignment="1" applyProtection="1">
      <alignment horizontal="center" vertical="center"/>
    </xf>
    <xf numFmtId="9" fontId="65" fillId="7" borderId="18" xfId="0" applyNumberFormat="1" applyFont="1" applyFill="1" applyBorder="1" applyAlignment="1" applyProtection="1">
      <alignment horizontal="center" vertical="center"/>
    </xf>
    <xf numFmtId="0" fontId="70" fillId="12" borderId="33" xfId="0" applyFont="1" applyFill="1" applyBorder="1" applyAlignment="1" applyProtection="1">
      <alignment horizontal="center" vertical="center" wrapText="1"/>
    </xf>
    <xf numFmtId="1" fontId="11" fillId="6" borderId="11" xfId="0" applyNumberFormat="1" applyFont="1" applyFill="1" applyBorder="1" applyAlignment="1" applyProtection="1">
      <alignment horizontal="center" vertical="center"/>
    </xf>
    <xf numFmtId="2" fontId="11" fillId="6" borderId="11" xfId="0" applyNumberFormat="1" applyFont="1" applyFill="1" applyBorder="1" applyAlignment="1" applyProtection="1">
      <alignment horizontal="center" vertical="center"/>
    </xf>
    <xf numFmtId="10" fontId="11" fillId="6" borderId="12" xfId="1" applyNumberFormat="1" applyFont="1" applyFill="1" applyBorder="1" applyAlignment="1" applyProtection="1">
      <alignment horizontal="center" vertical="center"/>
    </xf>
    <xf numFmtId="0" fontId="71" fillId="13" borderId="34" xfId="0" applyFont="1" applyFill="1" applyBorder="1" applyAlignment="1" applyProtection="1">
      <alignment horizontal="center" vertical="center" wrapText="1"/>
    </xf>
    <xf numFmtId="9" fontId="9" fillId="3" borderId="19" xfId="1"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166" fontId="11" fillId="6" borderId="11" xfId="0" applyNumberFormat="1" applyFont="1" applyFill="1" applyBorder="1" applyAlignment="1" applyProtection="1">
      <alignment horizontal="center" vertical="center"/>
    </xf>
    <xf numFmtId="2" fontId="11" fillId="6" borderId="11" xfId="0" applyNumberFormat="1" applyFont="1" applyFill="1" applyBorder="1" applyAlignment="1" applyProtection="1">
      <alignment horizontal="center" vertical="center" wrapText="1"/>
    </xf>
    <xf numFmtId="2" fontId="11" fillId="6" borderId="14" xfId="1" applyNumberFormat="1" applyFont="1" applyFill="1" applyBorder="1" applyAlignment="1" applyProtection="1">
      <alignment horizontal="center" vertical="center"/>
    </xf>
    <xf numFmtId="0" fontId="14" fillId="4" borderId="2" xfId="0" applyFont="1" applyFill="1" applyBorder="1" applyAlignment="1" applyProtection="1">
      <alignment horizontal="center" vertical="center" wrapText="1"/>
    </xf>
    <xf numFmtId="0" fontId="14" fillId="4" borderId="3" xfId="0" applyFont="1" applyFill="1" applyBorder="1" applyAlignment="1" applyProtection="1">
      <alignment horizontal="center" vertical="center" wrapText="1"/>
    </xf>
    <xf numFmtId="0" fontId="11" fillId="4" borderId="23" xfId="0" applyFont="1" applyFill="1" applyBorder="1" applyAlignment="1" applyProtection="1">
      <alignment horizontal="center" vertical="center" wrapText="1"/>
    </xf>
    <xf numFmtId="0" fontId="7" fillId="14" borderId="20" xfId="0" applyFont="1" applyFill="1" applyBorder="1" applyAlignment="1" applyProtection="1">
      <alignment horizontal="center" vertical="center"/>
    </xf>
    <xf numFmtId="2" fontId="11" fillId="6" borderId="24" xfId="0" applyNumberFormat="1" applyFont="1" applyFill="1" applyBorder="1" applyAlignment="1" applyProtection="1">
      <alignment horizontal="center" vertical="center"/>
    </xf>
    <xf numFmtId="0" fontId="71" fillId="13" borderId="24" xfId="0" applyFont="1" applyFill="1" applyBorder="1" applyAlignment="1" applyProtection="1">
      <alignment vertical="center" wrapText="1"/>
    </xf>
    <xf numFmtId="9" fontId="73" fillId="7" borderId="26" xfId="0" applyNumberFormat="1" applyFont="1" applyFill="1" applyBorder="1" applyAlignment="1" applyProtection="1">
      <alignment horizontal="center" vertical="center" wrapText="1"/>
    </xf>
    <xf numFmtId="167" fontId="73" fillId="7" borderId="26" xfId="0" applyNumberFormat="1" applyFont="1" applyFill="1" applyBorder="1" applyAlignment="1" applyProtection="1">
      <alignment horizontal="center" vertical="center" wrapText="1"/>
    </xf>
    <xf numFmtId="169" fontId="73" fillId="7" borderId="0" xfId="8" applyNumberFormat="1" applyFont="1" applyFill="1" applyAlignment="1" applyProtection="1">
      <alignment vertical="center" wrapText="1"/>
    </xf>
    <xf numFmtId="0" fontId="12" fillId="4" borderId="7" xfId="2" applyFill="1" applyBorder="1" applyAlignment="1" applyProtection="1">
      <alignment horizontal="center" vertical="center" wrapText="1"/>
    </xf>
    <xf numFmtId="9" fontId="11" fillId="6" borderId="14" xfId="1" applyFont="1" applyFill="1" applyBorder="1" applyAlignment="1" applyProtection="1">
      <alignment horizontal="center" vertical="center"/>
    </xf>
    <xf numFmtId="9" fontId="11" fillId="6" borderId="15" xfId="1" applyFont="1" applyFill="1" applyBorder="1" applyAlignment="1" applyProtection="1">
      <alignment horizontal="center" vertical="center"/>
    </xf>
    <xf numFmtId="2" fontId="11" fillId="6" borderId="10" xfId="8" applyNumberFormat="1" applyFont="1" applyFill="1" applyBorder="1" applyAlignment="1" applyProtection="1">
      <alignment horizontal="center" vertical="center"/>
    </xf>
    <xf numFmtId="0" fontId="71" fillId="13" borderId="66" xfId="0" applyFont="1" applyFill="1" applyBorder="1" applyAlignment="1" applyProtection="1">
      <alignment horizontal="center" vertical="center" wrapText="1"/>
    </xf>
    <xf numFmtId="2" fontId="11" fillId="6" borderId="11" xfId="8" applyNumberFormat="1" applyFont="1" applyFill="1" applyBorder="1" applyAlignment="1" applyProtection="1">
      <alignment horizontal="center" vertical="center"/>
    </xf>
    <xf numFmtId="167" fontId="11" fillId="6" borderId="13" xfId="0" applyNumberFormat="1" applyFont="1" applyFill="1" applyBorder="1" applyAlignment="1" applyProtection="1">
      <alignment horizontal="center" vertical="center"/>
    </xf>
    <xf numFmtId="0" fontId="71" fillId="13" borderId="15" xfId="0" applyFont="1" applyFill="1" applyBorder="1" applyAlignment="1" applyProtection="1">
      <alignment horizontal="center" vertical="center" wrapText="1"/>
    </xf>
    <xf numFmtId="1" fontId="11" fillId="6" borderId="13" xfId="0" applyNumberFormat="1" applyFont="1" applyFill="1" applyBorder="1" applyAlignment="1" applyProtection="1">
      <alignment horizontal="center" vertical="center"/>
    </xf>
    <xf numFmtId="9" fontId="11" fillId="15" borderId="0" xfId="1" applyFont="1" applyFill="1" applyBorder="1" applyAlignment="1" applyProtection="1">
      <alignment horizontal="center" vertical="center"/>
    </xf>
    <xf numFmtId="2" fontId="11" fillId="14" borderId="37" xfId="8" applyNumberFormat="1" applyFont="1" applyFill="1" applyBorder="1" applyAlignment="1" applyProtection="1">
      <alignment horizontal="center" vertical="center"/>
    </xf>
    <xf numFmtId="2" fontId="11" fillId="14" borderId="0" xfId="8" applyNumberFormat="1" applyFont="1" applyFill="1" applyBorder="1" applyAlignment="1" applyProtection="1">
      <alignment horizontal="center" vertical="center"/>
    </xf>
    <xf numFmtId="0" fontId="19" fillId="15" borderId="0" xfId="0" applyFont="1" applyFill="1" applyAlignment="1" applyProtection="1">
      <alignment horizontal="left" vertical="center"/>
    </xf>
    <xf numFmtId="0" fontId="9" fillId="4" borderId="9" xfId="0" applyFont="1" applyFill="1" applyBorder="1" applyAlignment="1" applyProtection="1">
      <alignment horizontal="center" vertical="center" wrapText="1"/>
    </xf>
    <xf numFmtId="0" fontId="9" fillId="6" borderId="11" xfId="0" applyFont="1" applyFill="1" applyBorder="1" applyAlignment="1" applyProtection="1">
      <alignment horizontal="center" vertical="center"/>
    </xf>
    <xf numFmtId="9" fontId="63" fillId="7" borderId="26" xfId="0" applyNumberFormat="1" applyFont="1" applyFill="1" applyBorder="1" applyAlignment="1" applyProtection="1">
      <alignment horizontal="center" vertical="center" wrapText="1"/>
    </xf>
    <xf numFmtId="169" fontId="63" fillId="7" borderId="26" xfId="8" applyNumberFormat="1" applyFont="1" applyFill="1" applyBorder="1" applyAlignment="1" applyProtection="1">
      <alignment horizontal="center" vertical="center" wrapText="1"/>
    </xf>
    <xf numFmtId="0" fontId="19" fillId="3" borderId="0" xfId="0" applyFont="1" applyFill="1" applyAlignment="1" applyProtection="1">
      <alignment horizontal="center" vertical="center" wrapText="1"/>
    </xf>
    <xf numFmtId="0" fontId="62" fillId="7" borderId="0" xfId="0" applyFont="1" applyFill="1" applyAlignment="1" applyProtection="1">
      <alignment vertical="center" wrapText="1"/>
    </xf>
    <xf numFmtId="0" fontId="19" fillId="3" borderId="17" xfId="0" applyFont="1" applyFill="1" applyBorder="1" applyAlignment="1" applyProtection="1">
      <alignment horizontal="left" vertical="center"/>
    </xf>
    <xf numFmtId="9" fontId="65" fillId="7" borderId="18" xfId="0" applyNumberFormat="1" applyFont="1" applyFill="1" applyBorder="1" applyAlignment="1" applyProtection="1">
      <alignment vertical="center"/>
    </xf>
    <xf numFmtId="0" fontId="66" fillId="7" borderId="0" xfId="0" applyFont="1" applyFill="1" applyBorder="1" applyAlignment="1" applyProtection="1">
      <alignment vertical="center" wrapText="1"/>
    </xf>
    <xf numFmtId="0" fontId="7" fillId="3" borderId="20" xfId="0" applyFont="1" applyFill="1" applyBorder="1" applyAlignment="1" applyProtection="1">
      <alignment horizontal="center" vertical="center"/>
    </xf>
    <xf numFmtId="167" fontId="29" fillId="3" borderId="20" xfId="0" applyNumberFormat="1" applyFont="1" applyFill="1" applyBorder="1" applyAlignment="1" applyProtection="1">
      <alignment horizontal="center" vertical="center"/>
    </xf>
    <xf numFmtId="0" fontId="71" fillId="3" borderId="21" xfId="0" applyFont="1" applyFill="1" applyBorder="1" applyAlignment="1" applyProtection="1">
      <alignment horizontal="center" vertical="center" wrapText="1"/>
    </xf>
    <xf numFmtId="164" fontId="11" fillId="6" borderId="11" xfId="1" applyNumberFormat="1" applyFont="1" applyFill="1" applyBorder="1" applyAlignment="1" applyProtection="1">
      <alignment horizontal="center" vertical="center"/>
    </xf>
    <xf numFmtId="9" fontId="29" fillId="6" borderId="11" xfId="1" applyFont="1" applyFill="1" applyBorder="1" applyAlignment="1" applyProtection="1">
      <alignment horizontal="center" vertical="center"/>
    </xf>
    <xf numFmtId="9" fontId="29" fillId="6" borderId="12" xfId="1" applyFont="1" applyFill="1" applyBorder="1" applyAlignment="1" applyProtection="1">
      <alignment horizontal="center" vertical="center"/>
    </xf>
    <xf numFmtId="167" fontId="29" fillId="6" borderId="11" xfId="0" applyNumberFormat="1" applyFont="1" applyFill="1" applyBorder="1" applyAlignment="1" applyProtection="1">
      <alignment horizontal="center" vertical="center"/>
    </xf>
    <xf numFmtId="167" fontId="11" fillId="6" borderId="11" xfId="0" applyNumberFormat="1" applyFont="1" applyFill="1" applyBorder="1" applyAlignment="1" applyProtection="1">
      <alignment vertical="center"/>
    </xf>
    <xf numFmtId="0" fontId="19" fillId="2" borderId="0" xfId="0" applyFont="1" applyFill="1" applyAlignment="1" applyProtection="1">
      <alignment horizontal="center" vertical="center"/>
    </xf>
    <xf numFmtId="0" fontId="40" fillId="7" borderId="0" xfId="0" applyFont="1" applyFill="1" applyAlignment="1" applyProtection="1">
      <alignment vertical="center" wrapText="1"/>
    </xf>
    <xf numFmtId="0" fontId="40" fillId="7" borderId="0" xfId="0" applyFont="1" applyFill="1" applyAlignment="1" applyProtection="1">
      <alignment horizontal="center" vertical="center" wrapText="1"/>
    </xf>
    <xf numFmtId="0" fontId="38" fillId="7" borderId="0" xfId="0" applyFont="1" applyFill="1" applyProtection="1"/>
    <xf numFmtId="0" fontId="7" fillId="7" borderId="0" xfId="0" applyFont="1" applyFill="1" applyProtection="1"/>
    <xf numFmtId="9" fontId="9" fillId="6" borderId="2" xfId="1" applyFont="1" applyFill="1" applyBorder="1" applyAlignment="1" applyProtection="1">
      <alignment horizontal="center" vertical="center"/>
    </xf>
    <xf numFmtId="0" fontId="72" fillId="2" borderId="0" xfId="0" applyFont="1" applyFill="1" applyAlignment="1" applyProtection="1">
      <alignment vertical="center"/>
    </xf>
    <xf numFmtId="0" fontId="0" fillId="3" borderId="0" xfId="0" applyFill="1" applyAlignment="1" applyProtection="1">
      <alignment vertical="center" wrapText="1"/>
    </xf>
    <xf numFmtId="0" fontId="0" fillId="3" borderId="0" xfId="0" applyFill="1" applyAlignment="1" applyProtection="1">
      <alignment horizontal="left" wrapText="1"/>
    </xf>
    <xf numFmtId="0" fontId="0" fillId="3" borderId="0" xfId="0" applyFill="1" applyProtection="1"/>
    <xf numFmtId="0" fontId="0" fillId="3" borderId="0" xfId="0" applyFill="1" applyAlignment="1" applyProtection="1">
      <alignment vertical="center"/>
    </xf>
    <xf numFmtId="0" fontId="15" fillId="0" borderId="43" xfId="0" applyFont="1" applyBorder="1" applyAlignment="1" applyProtection="1">
      <alignment horizontal="center"/>
    </xf>
    <xf numFmtId="0" fontId="15" fillId="0" borderId="46" xfId="0" applyFont="1" applyBorder="1" applyAlignment="1" applyProtection="1">
      <alignment horizontal="center" vertical="center"/>
    </xf>
    <xf numFmtId="0" fontId="15" fillId="0" borderId="38" xfId="0" applyFont="1" applyBorder="1" applyAlignment="1" applyProtection="1">
      <alignment horizontal="center" vertical="center"/>
    </xf>
    <xf numFmtId="0" fontId="15" fillId="0" borderId="38" xfId="0" applyFont="1" applyBorder="1" applyAlignment="1" applyProtection="1">
      <alignment horizontal="center" vertical="center" wrapText="1"/>
    </xf>
    <xf numFmtId="0" fontId="15" fillId="0" borderId="39" xfId="0" applyFont="1" applyBorder="1" applyAlignment="1" applyProtection="1">
      <alignment horizontal="left" wrapText="1"/>
    </xf>
    <xf numFmtId="0" fontId="0" fillId="0" borderId="5" xfId="0" applyBorder="1" applyAlignment="1" applyProtection="1">
      <alignment vertical="center"/>
    </xf>
    <xf numFmtId="0" fontId="0" fillId="0" borderId="44" xfId="0" applyBorder="1" applyAlignment="1" applyProtection="1">
      <alignment vertical="center"/>
    </xf>
    <xf numFmtId="0" fontId="0" fillId="0" borderId="44" xfId="0" applyBorder="1" applyAlignment="1" applyProtection="1">
      <alignment vertical="center" wrapText="1"/>
    </xf>
    <xf numFmtId="0" fontId="0" fillId="0" borderId="45" xfId="0" applyBorder="1" applyAlignment="1" applyProtection="1">
      <alignment horizontal="left" wrapText="1"/>
    </xf>
    <xf numFmtId="0" fontId="0" fillId="0" borderId="3" xfId="0" applyBorder="1" applyAlignment="1" applyProtection="1">
      <alignment vertical="center"/>
    </xf>
    <xf numFmtId="0" fontId="0" fillId="0" borderId="2" xfId="0" applyBorder="1" applyAlignment="1" applyProtection="1">
      <alignment vertical="center"/>
    </xf>
    <xf numFmtId="0" fontId="0" fillId="0" borderId="2" xfId="0" applyBorder="1" applyAlignment="1" applyProtection="1">
      <alignment vertical="center" wrapText="1"/>
    </xf>
    <xf numFmtId="0" fontId="0" fillId="0" borderId="40" xfId="0" applyBorder="1" applyAlignment="1" applyProtection="1">
      <alignment horizontal="left" wrapText="1"/>
    </xf>
    <xf numFmtId="0" fontId="0" fillId="0" borderId="32" xfId="0" applyBorder="1" applyAlignment="1" applyProtection="1">
      <alignment vertical="center"/>
    </xf>
    <xf numFmtId="0" fontId="0" fillId="0" borderId="11" xfId="0" applyBorder="1" applyAlignment="1" applyProtection="1">
      <alignment vertical="center"/>
    </xf>
    <xf numFmtId="0" fontId="0" fillId="0" borderId="11" xfId="0" applyBorder="1" applyAlignment="1" applyProtection="1">
      <alignment vertical="center" wrapText="1"/>
    </xf>
    <xf numFmtId="0" fontId="0" fillId="3" borderId="0" xfId="0" applyFill="1" applyAlignment="1" applyProtection="1">
      <alignment wrapText="1"/>
    </xf>
    <xf numFmtId="0" fontId="0" fillId="0" borderId="31" xfId="0" applyBorder="1" applyAlignment="1" applyProtection="1">
      <alignment vertical="center"/>
    </xf>
    <xf numFmtId="0" fontId="0" fillId="0" borderId="8" xfId="0" applyBorder="1" applyAlignment="1" applyProtection="1">
      <alignment vertical="center"/>
    </xf>
    <xf numFmtId="0" fontId="0" fillId="0" borderId="8" xfId="0" applyBorder="1" applyAlignment="1" applyProtection="1">
      <alignment vertical="center" wrapText="1"/>
    </xf>
    <xf numFmtId="0" fontId="0" fillId="0" borderId="9" xfId="0" applyBorder="1" applyAlignment="1" applyProtection="1">
      <alignment horizontal="left" wrapText="1"/>
    </xf>
    <xf numFmtId="0" fontId="0" fillId="0" borderId="12" xfId="0" applyBorder="1" applyAlignment="1" applyProtection="1">
      <alignment horizontal="left" wrapText="1"/>
    </xf>
    <xf numFmtId="0" fontId="12" fillId="0" borderId="45" xfId="2" applyBorder="1" applyAlignment="1" applyProtection="1">
      <alignment horizontal="left" wrapText="1"/>
    </xf>
    <xf numFmtId="0" fontId="12" fillId="0" borderId="40" xfId="2" applyBorder="1" applyAlignment="1" applyProtection="1">
      <alignment horizontal="left" wrapText="1"/>
    </xf>
    <xf numFmtId="0" fontId="48" fillId="0" borderId="2" xfId="0" applyFont="1" applyBorder="1" applyAlignment="1" applyProtection="1">
      <alignment vertical="center" wrapText="1"/>
    </xf>
    <xf numFmtId="0" fontId="0" fillId="0" borderId="4" xfId="0" applyBorder="1" applyAlignment="1" applyProtection="1">
      <alignment vertical="center"/>
    </xf>
    <xf numFmtId="0" fontId="0" fillId="0" borderId="14" xfId="0" applyBorder="1" applyAlignment="1" applyProtection="1">
      <alignment vertical="center"/>
    </xf>
    <xf numFmtId="0" fontId="0" fillId="0" borderId="14" xfId="0" applyBorder="1" applyAlignment="1" applyProtection="1">
      <alignment vertical="center" wrapText="1"/>
    </xf>
    <xf numFmtId="0" fontId="0" fillId="0" borderId="15" xfId="0" applyBorder="1" applyAlignment="1" applyProtection="1">
      <alignment horizontal="left" wrapText="1"/>
    </xf>
    <xf numFmtId="0" fontId="0" fillId="0" borderId="67" xfId="0" applyBorder="1" applyAlignment="1" applyProtection="1">
      <alignment vertical="center"/>
    </xf>
    <xf numFmtId="0" fontId="0" fillId="0" borderId="47" xfId="0" applyBorder="1" applyAlignment="1" applyProtection="1">
      <alignment vertical="center"/>
    </xf>
    <xf numFmtId="0" fontId="0" fillId="0" borderId="47" xfId="0" applyBorder="1" applyAlignment="1" applyProtection="1">
      <alignment vertical="center" wrapText="1"/>
    </xf>
    <xf numFmtId="0" fontId="0" fillId="0" borderId="51" xfId="0" applyBorder="1" applyAlignment="1" applyProtection="1">
      <alignment horizontal="left" wrapText="1"/>
    </xf>
    <xf numFmtId="0" fontId="0" fillId="0" borderId="7" xfId="0" applyBorder="1" applyAlignment="1" applyProtection="1">
      <alignment vertical="center"/>
    </xf>
    <xf numFmtId="0" fontId="12" fillId="0" borderId="9" xfId="2" applyBorder="1" applyAlignment="1" applyProtection="1">
      <alignment horizontal="left" wrapText="1"/>
    </xf>
    <xf numFmtId="0" fontId="0" fillId="0" borderId="27" xfId="0" applyBorder="1" applyAlignment="1" applyProtection="1">
      <alignment vertical="center"/>
    </xf>
    <xf numFmtId="0" fontId="0" fillId="0" borderId="10" xfId="0" applyBorder="1" applyAlignment="1" applyProtection="1">
      <alignment vertical="center"/>
    </xf>
    <xf numFmtId="0" fontId="12" fillId="0" borderId="12" xfId="2" applyBorder="1" applyAlignment="1" applyProtection="1">
      <alignment horizontal="left" wrapText="1"/>
    </xf>
    <xf numFmtId="0" fontId="99" fillId="2" borderId="0" xfId="0" applyFont="1" applyFill="1" applyAlignment="1" applyProtection="1">
      <alignment horizontal="left" vertical="center"/>
    </xf>
    <xf numFmtId="0" fontId="5" fillId="3" borderId="0" xfId="0" applyFont="1" applyFill="1" applyAlignment="1" applyProtection="1">
      <alignment horizontal="center" vertical="center"/>
    </xf>
    <xf numFmtId="0" fontId="0" fillId="3" borderId="0" xfId="0" applyFont="1" applyFill="1" applyAlignment="1" applyProtection="1">
      <alignment vertical="center"/>
    </xf>
    <xf numFmtId="0" fontId="0" fillId="3" borderId="1" xfId="0" applyFont="1" applyFill="1" applyBorder="1" applyAlignment="1" applyProtection="1">
      <alignment horizontal="center" vertical="center"/>
    </xf>
    <xf numFmtId="0" fontId="3" fillId="3" borderId="0" xfId="0" applyFont="1" applyFill="1" applyAlignment="1" applyProtection="1">
      <alignment vertical="center"/>
    </xf>
    <xf numFmtId="0" fontId="3" fillId="3" borderId="0" xfId="0" applyFont="1" applyFill="1" applyAlignment="1" applyProtection="1">
      <alignment horizontal="center" vertical="center"/>
    </xf>
    <xf numFmtId="0" fontId="102" fillId="4" borderId="49" xfId="0" applyFont="1" applyFill="1" applyBorder="1" applyAlignment="1" applyProtection="1">
      <alignment horizontal="center" vertical="center" wrapText="1"/>
    </xf>
    <xf numFmtId="0" fontId="102" fillId="4" borderId="47" xfId="0" applyFont="1" applyFill="1" applyBorder="1" applyAlignment="1" applyProtection="1">
      <alignment horizontal="center" vertical="center" wrapText="1"/>
    </xf>
    <xf numFmtId="0" fontId="102" fillId="4" borderId="51" xfId="0" applyFont="1" applyFill="1" applyBorder="1" applyAlignment="1" applyProtection="1">
      <alignment horizontal="center" vertical="center" wrapText="1"/>
    </xf>
    <xf numFmtId="0" fontId="0" fillId="3" borderId="9" xfId="0" applyFont="1" applyFill="1" applyBorder="1" applyAlignment="1" applyProtection="1">
      <alignment vertical="center"/>
    </xf>
    <xf numFmtId="0" fontId="0" fillId="3" borderId="12" xfId="0" applyFont="1" applyFill="1" applyBorder="1" applyAlignment="1" applyProtection="1">
      <alignment vertical="center"/>
    </xf>
    <xf numFmtId="0" fontId="0" fillId="3" borderId="40" xfId="0" applyFont="1" applyFill="1" applyBorder="1" applyAlignment="1" applyProtection="1">
      <alignment vertical="center"/>
    </xf>
    <xf numFmtId="0" fontId="0" fillId="3" borderId="8" xfId="0" applyFont="1" applyFill="1" applyBorder="1" applyAlignment="1" applyProtection="1">
      <alignment vertical="center"/>
    </xf>
    <xf numFmtId="0" fontId="0" fillId="3" borderId="2" xfId="0" applyFont="1" applyFill="1" applyBorder="1" applyAlignment="1" applyProtection="1">
      <alignment vertical="center"/>
    </xf>
    <xf numFmtId="0" fontId="0" fillId="3" borderId="11" xfId="0" applyFont="1" applyFill="1" applyBorder="1" applyAlignment="1" applyProtection="1">
      <alignment vertical="center"/>
    </xf>
    <xf numFmtId="0" fontId="0" fillId="3" borderId="14" xfId="0" applyFont="1" applyFill="1" applyBorder="1" applyAlignment="1" applyProtection="1">
      <alignment vertical="center"/>
    </xf>
    <xf numFmtId="0" fontId="99" fillId="7" borderId="14" xfId="0" applyFont="1" applyFill="1" applyBorder="1" applyAlignment="1" applyProtection="1">
      <alignment horizontal="center" vertical="center" wrapText="1"/>
    </xf>
    <xf numFmtId="0" fontId="102" fillId="4" borderId="42" xfId="0" applyFont="1" applyFill="1" applyBorder="1" applyAlignment="1" applyProtection="1">
      <alignment horizontal="center" vertical="center" wrapText="1"/>
    </xf>
    <xf numFmtId="0" fontId="48" fillId="3" borderId="2" xfId="0" applyFont="1" applyFill="1" applyBorder="1" applyAlignment="1" applyProtection="1">
      <alignment vertical="center"/>
    </xf>
    <xf numFmtId="0" fontId="108" fillId="7" borderId="50" xfId="0" applyFont="1" applyFill="1" applyBorder="1" applyAlignment="1" applyProtection="1">
      <alignment horizontal="center" vertical="center" wrapText="1"/>
    </xf>
    <xf numFmtId="0" fontId="0" fillId="5" borderId="38" xfId="0" applyFont="1" applyFill="1" applyBorder="1" applyAlignment="1" applyProtection="1">
      <alignment horizontal="left" vertical="center" wrapText="1"/>
    </xf>
    <xf numFmtId="0" fontId="48" fillId="7" borderId="8" xfId="0" applyFont="1" applyFill="1" applyBorder="1" applyAlignment="1" applyProtection="1">
      <alignment vertical="center" wrapText="1"/>
    </xf>
    <xf numFmtId="0" fontId="48" fillId="7" borderId="44" xfId="0" applyFont="1" applyFill="1" applyBorder="1" applyAlignment="1" applyProtection="1">
      <alignment vertical="center" wrapText="1"/>
    </xf>
    <xf numFmtId="0" fontId="48" fillId="7" borderId="68" xfId="0" applyFont="1" applyFill="1" applyBorder="1" applyAlignment="1" applyProtection="1">
      <alignment vertical="center" wrapText="1"/>
    </xf>
    <xf numFmtId="0" fontId="30" fillId="7" borderId="2" xfId="0" applyFont="1" applyFill="1" applyBorder="1" applyAlignment="1" applyProtection="1">
      <alignment vertical="center" wrapText="1"/>
    </xf>
    <xf numFmtId="0" fontId="48" fillId="7" borderId="2" xfId="0" applyFont="1" applyFill="1" applyBorder="1" applyAlignment="1" applyProtection="1">
      <alignment vertical="top" wrapText="1"/>
    </xf>
    <xf numFmtId="0" fontId="0" fillId="3" borderId="2" xfId="0" applyFont="1" applyFill="1" applyBorder="1" applyAlignment="1" applyProtection="1">
      <alignment vertical="center" wrapText="1"/>
    </xf>
    <xf numFmtId="0" fontId="2" fillId="3" borderId="11" xfId="0" applyFont="1" applyFill="1" applyBorder="1" applyAlignment="1" applyProtection="1">
      <alignment vertical="top" wrapText="1"/>
    </xf>
    <xf numFmtId="0" fontId="0" fillId="5" borderId="0" xfId="0" applyFill="1" applyProtection="1"/>
    <xf numFmtId="165" fontId="19" fillId="2" borderId="0" xfId="0" applyNumberFormat="1" applyFont="1" applyFill="1" applyProtection="1"/>
    <xf numFmtId="0" fontId="19" fillId="2" borderId="0" xfId="0" applyFont="1" applyFill="1" applyAlignment="1" applyProtection="1">
      <alignment vertical="center"/>
    </xf>
    <xf numFmtId="0" fontId="19" fillId="2" borderId="0" xfId="0" applyFont="1" applyFill="1" applyProtection="1"/>
    <xf numFmtId="0" fontId="19" fillId="2" borderId="0" xfId="0" applyFont="1" applyFill="1" applyAlignment="1" applyProtection="1">
      <alignment horizontal="center" vertical="center" wrapText="1"/>
    </xf>
    <xf numFmtId="0" fontId="41" fillId="7" borderId="0" xfId="0" applyFont="1" applyFill="1" applyAlignment="1" applyProtection="1">
      <alignment vertical="center"/>
    </xf>
    <xf numFmtId="0" fontId="42" fillId="3" borderId="0" xfId="0" applyFont="1" applyFill="1" applyAlignment="1" applyProtection="1">
      <alignment vertical="center" wrapText="1"/>
    </xf>
    <xf numFmtId="0" fontId="42" fillId="0" borderId="0" xfId="0" applyFont="1" applyAlignment="1" applyProtection="1">
      <alignment vertical="center" wrapText="1"/>
    </xf>
    <xf numFmtId="0" fontId="12" fillId="3" borderId="52" xfId="2" applyFill="1" applyBorder="1" applyAlignment="1" applyProtection="1">
      <alignment horizontal="center" vertical="center" wrapText="1"/>
    </xf>
    <xf numFmtId="0" fontId="12" fillId="3" borderId="27" xfId="2" applyFill="1" applyBorder="1" applyAlignment="1" applyProtection="1">
      <alignment horizontal="center" vertical="center" wrapText="1"/>
    </xf>
    <xf numFmtId="0" fontId="42" fillId="5" borderId="0" xfId="0" applyFont="1" applyFill="1" applyAlignment="1" applyProtection="1">
      <alignment vertical="center" wrapText="1"/>
    </xf>
    <xf numFmtId="0" fontId="38" fillId="2" borderId="0" xfId="0" applyFont="1" applyFill="1" applyProtection="1"/>
    <xf numFmtId="0" fontId="39" fillId="2" borderId="0" xfId="0" applyFont="1" applyFill="1" applyAlignment="1" applyProtection="1">
      <alignment horizontal="center" vertical="center" wrapText="1"/>
    </xf>
    <xf numFmtId="0" fontId="12" fillId="3" borderId="10" xfId="2" applyFill="1" applyBorder="1" applyAlignment="1" applyProtection="1">
      <alignment horizontal="center" vertical="center" wrapText="1"/>
    </xf>
    <xf numFmtId="0" fontId="7" fillId="3" borderId="0" xfId="0" applyFont="1" applyFill="1" applyProtection="1"/>
    <xf numFmtId="0" fontId="11" fillId="3" borderId="0" xfId="0" applyFont="1" applyFill="1" applyAlignment="1" applyProtection="1">
      <alignment horizontal="center" vertical="center" wrapText="1"/>
    </xf>
    <xf numFmtId="0" fontId="11" fillId="5"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0" fontId="10" fillId="0" borderId="0" xfId="0" applyFont="1" applyAlignment="1" applyProtection="1">
      <alignment vertical="center" wrapText="1"/>
    </xf>
    <xf numFmtId="165" fontId="7" fillId="0" borderId="0" xfId="0" applyNumberFormat="1" applyFont="1" applyProtection="1"/>
    <xf numFmtId="0" fontId="19" fillId="0" borderId="0" xfId="0" applyFont="1" applyAlignment="1" applyProtection="1">
      <alignment vertical="center"/>
    </xf>
    <xf numFmtId="0" fontId="37" fillId="0" borderId="0" xfId="0" applyFont="1" applyAlignment="1" applyProtection="1">
      <alignment horizontal="center" vertical="center" wrapText="1"/>
    </xf>
    <xf numFmtId="1" fontId="11" fillId="3" borderId="0" xfId="0" applyNumberFormat="1" applyFont="1" applyFill="1" applyAlignment="1" applyProtection="1">
      <alignment horizontal="center" vertical="center" wrapText="1"/>
    </xf>
    <xf numFmtId="167" fontId="11" fillId="0" borderId="0" xfId="0" applyNumberFormat="1" applyFont="1" applyAlignment="1" applyProtection="1">
      <alignment vertical="center"/>
    </xf>
    <xf numFmtId="9" fontId="7" fillId="0" borderId="0" xfId="1" applyFont="1" applyFill="1" applyBorder="1" applyProtection="1"/>
    <xf numFmtId="168" fontId="19" fillId="0" borderId="0" xfId="0" applyNumberFormat="1" applyFont="1" applyAlignment="1" applyProtection="1">
      <alignment vertical="center"/>
    </xf>
    <xf numFmtId="0" fontId="29" fillId="3" borderId="0" xfId="0" applyFont="1" applyFill="1" applyAlignment="1" applyProtection="1">
      <alignment vertical="center" wrapText="1"/>
    </xf>
    <xf numFmtId="0" fontId="29" fillId="0" borderId="0" xfId="0" applyFont="1" applyAlignment="1" applyProtection="1">
      <alignment vertical="center" wrapText="1"/>
    </xf>
    <xf numFmtId="0" fontId="11" fillId="0" borderId="0" xfId="0" applyFont="1" applyAlignment="1" applyProtection="1">
      <alignment horizontal="center" vertical="center"/>
    </xf>
    <xf numFmtId="1" fontId="11" fillId="0" borderId="0" xfId="0" applyNumberFormat="1" applyFont="1" applyAlignment="1" applyProtection="1">
      <alignment horizontal="center" vertical="center" wrapText="1"/>
    </xf>
    <xf numFmtId="2" fontId="11" fillId="0" borderId="0" xfId="0" applyNumberFormat="1" applyFont="1" applyAlignment="1" applyProtection="1">
      <alignment horizontal="center" vertical="center" wrapText="1"/>
    </xf>
    <xf numFmtId="0" fontId="19" fillId="2" borderId="0" xfId="0" applyFont="1" applyFill="1" applyAlignment="1" applyProtection="1">
      <alignment horizontal="left" vertical="center"/>
    </xf>
    <xf numFmtId="0" fontId="0" fillId="0" borderId="0" xfId="0" applyAlignment="1">
      <alignment horizontal="left" wrapText="1"/>
    </xf>
    <xf numFmtId="0" fontId="13" fillId="0" borderId="2" xfId="0" applyFont="1" applyBorder="1" applyAlignment="1">
      <alignment horizontal="center" vertical="center" wrapText="1"/>
    </xf>
    <xf numFmtId="0" fontId="60" fillId="3" borderId="47" xfId="0" applyFont="1" applyFill="1" applyBorder="1" applyAlignment="1" applyProtection="1">
      <alignment horizontal="center" vertical="center" wrapText="1"/>
      <protection locked="0"/>
    </xf>
    <xf numFmtId="0" fontId="58" fillId="0" borderId="8" xfId="0" applyFont="1" applyBorder="1" applyAlignment="1" applyProtection="1">
      <alignment horizontal="left" vertical="center" wrapText="1"/>
      <protection locked="0"/>
    </xf>
    <xf numFmtId="0" fontId="58" fillId="0" borderId="2" xfId="0" applyFont="1" applyBorder="1" applyAlignment="1" applyProtection="1">
      <alignment horizontal="left" vertical="center" wrapText="1"/>
      <protection locked="0"/>
    </xf>
    <xf numFmtId="0" fontId="72" fillId="2" borderId="0" xfId="0" applyFont="1" applyFill="1" applyAlignment="1" applyProtection="1">
      <alignment horizontal="center" vertical="center"/>
      <protection locked="0"/>
    </xf>
    <xf numFmtId="0" fontId="40" fillId="7" borderId="0" xfId="0" applyFont="1" applyFill="1" applyAlignment="1" applyProtection="1">
      <alignment horizontal="left" vertical="center" wrapText="1"/>
      <protection locked="0"/>
    </xf>
    <xf numFmtId="0" fontId="41" fillId="7" borderId="0" xfId="0" applyFont="1" applyFill="1" applyBorder="1" applyAlignment="1" applyProtection="1">
      <alignment horizontal="left" vertical="center"/>
      <protection locked="0"/>
    </xf>
    <xf numFmtId="168" fontId="35" fillId="0" borderId="0" xfId="0" applyNumberFormat="1" applyFont="1" applyAlignment="1" applyProtection="1">
      <alignment horizontal="center" vertical="center"/>
      <protection locked="0"/>
    </xf>
    <xf numFmtId="0" fontId="29"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41" fillId="7" borderId="0" xfId="0" applyFont="1" applyFill="1" applyAlignment="1" applyProtection="1">
      <alignment horizontal="left" vertical="center"/>
      <protection locked="0"/>
    </xf>
    <xf numFmtId="0" fontId="58" fillId="0" borderId="11" xfId="0" applyFont="1" applyBorder="1" applyAlignment="1" applyProtection="1">
      <alignment horizontal="left" vertical="center" wrapText="1"/>
      <protection locked="0"/>
    </xf>
    <xf numFmtId="0" fontId="72" fillId="2" borderId="0" xfId="0" applyFont="1" applyFill="1" applyAlignment="1" applyProtection="1">
      <alignment horizontal="center" vertical="center"/>
    </xf>
    <xf numFmtId="0" fontId="58" fillId="0" borderId="2" xfId="0" applyFont="1" applyBorder="1" applyAlignment="1" applyProtection="1">
      <alignment horizontal="left" vertical="center" wrapText="1"/>
    </xf>
    <xf numFmtId="0" fontId="58" fillId="0" borderId="40" xfId="0" applyFont="1" applyBorder="1" applyAlignment="1" applyProtection="1">
      <alignment horizontal="left" vertical="center" wrapText="1"/>
    </xf>
    <xf numFmtId="0" fontId="40" fillId="7" borderId="0" xfId="0" applyFont="1" applyFill="1" applyAlignment="1" applyProtection="1">
      <alignment horizontal="left" vertical="center" wrapText="1"/>
    </xf>
    <xf numFmtId="0" fontId="41" fillId="7" borderId="20" xfId="0" applyFont="1" applyFill="1" applyBorder="1" applyAlignment="1" applyProtection="1">
      <alignment horizontal="left" vertical="center"/>
    </xf>
    <xf numFmtId="0" fontId="41" fillId="7" borderId="0" xfId="0" applyFont="1" applyFill="1" applyAlignment="1" applyProtection="1">
      <alignment horizontal="left" vertical="center"/>
    </xf>
    <xf numFmtId="0" fontId="21" fillId="2" borderId="16" xfId="0" applyFont="1" applyFill="1" applyBorder="1" applyAlignment="1" applyProtection="1">
      <alignment horizontal="left" vertical="center" wrapText="1"/>
    </xf>
    <xf numFmtId="0" fontId="21" fillId="2" borderId="17" xfId="0" applyFont="1" applyFill="1" applyBorder="1" applyAlignment="1" applyProtection="1">
      <alignment horizontal="left" vertical="center" wrapText="1"/>
    </xf>
    <xf numFmtId="0" fontId="21" fillId="2" borderId="18" xfId="0" applyFont="1" applyFill="1" applyBorder="1" applyAlignment="1" applyProtection="1">
      <alignment horizontal="left" vertical="center" wrapText="1"/>
    </xf>
    <xf numFmtId="0" fontId="21" fillId="2" borderId="37" xfId="0" applyFont="1" applyFill="1" applyBorder="1" applyAlignment="1" applyProtection="1">
      <alignment horizontal="left" vertical="center" wrapText="1"/>
    </xf>
    <xf numFmtId="0" fontId="21" fillId="2" borderId="0" xfId="0" applyFont="1" applyFill="1" applyAlignment="1" applyProtection="1">
      <alignment horizontal="left" vertical="center" wrapText="1"/>
    </xf>
    <xf numFmtId="0" fontId="21" fillId="2" borderId="22" xfId="0" applyFont="1" applyFill="1" applyBorder="1" applyAlignment="1" applyProtection="1">
      <alignment horizontal="left" vertical="center" wrapText="1"/>
    </xf>
    <xf numFmtId="0" fontId="21" fillId="2" borderId="19" xfId="0" applyFont="1" applyFill="1" applyBorder="1" applyAlignment="1" applyProtection="1">
      <alignment horizontal="left" vertical="center" wrapText="1"/>
    </xf>
    <xf numFmtId="0" fontId="21" fillId="2" borderId="20" xfId="0" applyFont="1" applyFill="1" applyBorder="1" applyAlignment="1" applyProtection="1">
      <alignment horizontal="left" vertical="center" wrapText="1"/>
    </xf>
    <xf numFmtId="0" fontId="21" fillId="2" borderId="21" xfId="0" applyFont="1" applyFill="1" applyBorder="1" applyAlignment="1" applyProtection="1">
      <alignment horizontal="left" vertical="center" wrapText="1"/>
    </xf>
    <xf numFmtId="0" fontId="60" fillId="3" borderId="50" xfId="0" applyFont="1" applyFill="1" applyBorder="1" applyAlignment="1" applyProtection="1">
      <alignment horizontal="left" vertical="center" wrapText="1"/>
    </xf>
    <xf numFmtId="0" fontId="60" fillId="3" borderId="38" xfId="0" applyFont="1" applyFill="1" applyBorder="1" applyAlignment="1" applyProtection="1">
      <alignment horizontal="left" vertical="center" wrapText="1"/>
    </xf>
    <xf numFmtId="0" fontId="60" fillId="3" borderId="39" xfId="0" applyFont="1" applyFill="1" applyBorder="1" applyAlignment="1" applyProtection="1">
      <alignment horizontal="left" vertical="center" wrapText="1"/>
    </xf>
    <xf numFmtId="0" fontId="58" fillId="0" borderId="44" xfId="0" applyFont="1" applyBorder="1" applyAlignment="1" applyProtection="1">
      <alignment horizontal="left" vertical="center" wrapText="1"/>
    </xf>
    <xf numFmtId="0" fontId="58" fillId="0" borderId="45" xfId="0" applyFont="1" applyBorder="1" applyAlignment="1" applyProtection="1">
      <alignment horizontal="left" vertical="center" wrapText="1"/>
    </xf>
    <xf numFmtId="0" fontId="58" fillId="0" borderId="11" xfId="0" applyFont="1" applyBorder="1" applyAlignment="1" applyProtection="1">
      <alignment horizontal="left" vertical="center" wrapText="1"/>
    </xf>
    <xf numFmtId="0" fontId="58" fillId="0" borderId="12" xfId="0" applyFont="1" applyBorder="1" applyAlignment="1" applyProtection="1">
      <alignment horizontal="left" vertical="center" wrapText="1"/>
    </xf>
    <xf numFmtId="0" fontId="11" fillId="0" borderId="0" xfId="0" applyFont="1" applyAlignment="1" applyProtection="1">
      <alignment horizontal="center" vertical="center" wrapText="1"/>
    </xf>
    <xf numFmtId="168" fontId="35" fillId="0" borderId="0" xfId="0" applyNumberFormat="1" applyFont="1" applyAlignment="1" applyProtection="1">
      <alignment horizontal="center" vertical="center"/>
    </xf>
    <xf numFmtId="0" fontId="29" fillId="0" borderId="0" xfId="0" applyFont="1" applyAlignment="1" applyProtection="1">
      <alignment horizontal="center" vertical="center" wrapText="1"/>
    </xf>
    <xf numFmtId="0" fontId="48" fillId="3" borderId="9" xfId="0" applyFont="1" applyFill="1" applyBorder="1" applyAlignment="1" applyProtection="1">
      <alignment horizontal="left" vertical="center" wrapText="1"/>
    </xf>
    <xf numFmtId="0" fontId="48" fillId="3" borderId="12" xfId="0" applyFont="1" applyFill="1" applyBorder="1" applyAlignment="1" applyProtection="1">
      <alignment horizontal="left" vertical="center" wrapText="1"/>
    </xf>
    <xf numFmtId="0" fontId="96" fillId="7" borderId="70" xfId="0" applyFont="1" applyFill="1" applyBorder="1" applyAlignment="1" applyProtection="1">
      <alignment horizontal="center" vertical="center" wrapText="1"/>
    </xf>
    <xf numFmtId="0" fontId="96" fillId="7" borderId="30" xfId="0" applyFont="1" applyFill="1" applyBorder="1" applyAlignment="1" applyProtection="1">
      <alignment horizontal="center" vertical="center" wrapText="1"/>
    </xf>
    <xf numFmtId="0" fontId="96" fillId="7" borderId="26" xfId="0" applyFont="1" applyFill="1" applyBorder="1" applyAlignment="1" applyProtection="1">
      <alignment horizontal="center" vertical="center" wrapText="1"/>
    </xf>
    <xf numFmtId="0" fontId="110" fillId="3" borderId="8" xfId="0" applyFont="1" applyFill="1" applyBorder="1" applyAlignment="1" applyProtection="1">
      <alignment horizontal="center" vertical="center"/>
    </xf>
    <xf numFmtId="0" fontId="110" fillId="3" borderId="11" xfId="0" applyFont="1" applyFill="1" applyBorder="1" applyAlignment="1" applyProtection="1">
      <alignment horizontal="center" vertical="center"/>
    </xf>
    <xf numFmtId="0" fontId="96" fillId="5" borderId="8" xfId="0" applyFont="1" applyFill="1" applyBorder="1" applyAlignment="1" applyProtection="1">
      <alignment horizontal="left" vertical="center" wrapText="1"/>
    </xf>
    <xf numFmtId="0" fontId="96" fillId="5" borderId="11" xfId="0" applyFont="1" applyFill="1" applyBorder="1" applyAlignment="1" applyProtection="1">
      <alignment horizontal="left" vertical="center" wrapText="1"/>
    </xf>
    <xf numFmtId="0" fontId="0" fillId="3" borderId="9" xfId="0" applyFont="1" applyFill="1" applyBorder="1" applyAlignment="1" applyProtection="1">
      <alignment vertical="center" wrapText="1"/>
    </xf>
    <xf numFmtId="0" fontId="0" fillId="3" borderId="40" xfId="0" applyFont="1" applyFill="1" applyBorder="1" applyAlignment="1" applyProtection="1">
      <alignment vertical="center" wrapText="1"/>
    </xf>
    <xf numFmtId="0" fontId="0" fillId="3" borderId="12" xfId="0" applyFont="1" applyFill="1" applyBorder="1" applyAlignment="1" applyProtection="1">
      <alignment vertical="center" wrapText="1"/>
    </xf>
    <xf numFmtId="0" fontId="48" fillId="5" borderId="4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68" xfId="0" applyFont="1" applyFill="1" applyBorder="1" applyAlignment="1" applyProtection="1">
      <alignment horizontal="left" vertical="center" wrapText="1"/>
    </xf>
    <xf numFmtId="0" fontId="0" fillId="3" borderId="62" xfId="0" applyFont="1" applyFill="1" applyBorder="1" applyAlignment="1" applyProtection="1">
      <alignment horizontal="center"/>
    </xf>
    <xf numFmtId="0" fontId="0" fillId="3" borderId="63" xfId="0" applyFont="1" applyFill="1" applyBorder="1" applyAlignment="1" applyProtection="1">
      <alignment horizontal="center"/>
    </xf>
    <xf numFmtId="0" fontId="0" fillId="3" borderId="69" xfId="0" applyFont="1" applyFill="1" applyBorder="1" applyAlignment="1" applyProtection="1">
      <alignment horizontal="center"/>
    </xf>
    <xf numFmtId="0" fontId="96" fillId="7" borderId="7" xfId="0" applyFont="1" applyFill="1" applyBorder="1" applyAlignment="1" applyProtection="1">
      <alignment horizontal="center" vertical="center" wrapText="1"/>
    </xf>
    <xf numFmtId="0" fontId="96" fillId="7" borderId="10" xfId="0" applyFont="1" applyFill="1" applyBorder="1" applyAlignment="1" applyProtection="1">
      <alignment horizontal="center" vertical="center" wrapText="1"/>
    </xf>
    <xf numFmtId="0" fontId="96" fillId="5" borderId="2" xfId="0" applyFont="1" applyFill="1" applyBorder="1" applyAlignment="1" applyProtection="1">
      <alignment horizontal="left" vertical="center" wrapText="1"/>
    </xf>
    <xf numFmtId="0" fontId="96" fillId="7" borderId="27" xfId="0" applyFont="1" applyFill="1" applyBorder="1" applyAlignment="1" applyProtection="1">
      <alignment horizontal="center" vertical="center" wrapText="1"/>
    </xf>
    <xf numFmtId="0" fontId="0" fillId="3" borderId="8" xfId="0" applyFont="1" applyFill="1" applyBorder="1" applyAlignment="1" applyProtection="1">
      <alignment horizontal="center"/>
    </xf>
    <xf numFmtId="0" fontId="0" fillId="3" borderId="2" xfId="0" applyFont="1" applyFill="1" applyBorder="1" applyAlignment="1" applyProtection="1">
      <alignment horizontal="center"/>
    </xf>
    <xf numFmtId="0" fontId="96" fillId="7" borderId="49" xfId="0" applyFont="1" applyFill="1" applyBorder="1" applyAlignment="1" applyProtection="1">
      <alignment horizontal="center" vertical="center" wrapText="1"/>
    </xf>
    <xf numFmtId="0" fontId="96" fillId="7" borderId="59" xfId="0" applyFont="1" applyFill="1" applyBorder="1" applyAlignment="1" applyProtection="1">
      <alignment horizontal="center" vertical="center" wrapText="1"/>
    </xf>
    <xf numFmtId="0" fontId="96" fillId="7" borderId="71" xfId="0" applyFont="1" applyFill="1" applyBorder="1" applyAlignment="1" applyProtection="1">
      <alignment horizontal="center" vertical="center" wrapText="1"/>
    </xf>
    <xf numFmtId="0" fontId="0" fillId="3" borderId="9" xfId="0" applyFont="1" applyFill="1" applyBorder="1" applyAlignment="1" applyProtection="1">
      <alignment horizontal="center" vertical="center" wrapText="1"/>
    </xf>
    <xf numFmtId="0" fontId="0" fillId="3" borderId="40" xfId="0" applyFont="1" applyFill="1" applyBorder="1" applyAlignment="1" applyProtection="1">
      <alignment horizontal="center" vertical="center" wrapText="1"/>
    </xf>
    <xf numFmtId="0" fontId="0" fillId="3" borderId="12" xfId="0" applyFont="1" applyFill="1" applyBorder="1" applyAlignment="1" applyProtection="1">
      <alignment horizontal="center" vertical="center" wrapText="1"/>
    </xf>
    <xf numFmtId="0" fontId="110" fillId="3" borderId="14" xfId="0" applyFont="1" applyFill="1" applyBorder="1" applyAlignment="1" applyProtection="1">
      <alignment horizontal="center" vertical="center"/>
    </xf>
    <xf numFmtId="0" fontId="110" fillId="3" borderId="60" xfId="0" applyFont="1" applyFill="1" applyBorder="1" applyAlignment="1" applyProtection="1">
      <alignment horizontal="center" vertical="center"/>
    </xf>
    <xf numFmtId="0" fontId="110" fillId="3" borderId="68" xfId="0" applyFont="1" applyFill="1" applyBorder="1" applyAlignment="1" applyProtection="1">
      <alignment horizontal="center" vertical="center"/>
    </xf>
    <xf numFmtId="0" fontId="99" fillId="3" borderId="8" xfId="0" applyFont="1" applyFill="1" applyBorder="1" applyAlignment="1" applyProtection="1">
      <alignment horizontal="center" vertical="center" wrapText="1"/>
    </xf>
    <xf numFmtId="0" fontId="99" fillId="3" borderId="2" xfId="0" applyFont="1" applyFill="1" applyBorder="1" applyAlignment="1" applyProtection="1">
      <alignment horizontal="center" vertical="center" wrapText="1"/>
    </xf>
    <xf numFmtId="0" fontId="99" fillId="3" borderId="11" xfId="0" applyFont="1" applyFill="1" applyBorder="1" applyAlignment="1" applyProtection="1">
      <alignment horizontal="center" vertical="center" wrapText="1"/>
    </xf>
    <xf numFmtId="0" fontId="48" fillId="5" borderId="8"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0" fillId="3" borderId="8" xfId="0" applyFont="1" applyFill="1" applyBorder="1" applyAlignment="1" applyProtection="1">
      <alignment horizontal="center" vertical="center"/>
    </xf>
    <xf numFmtId="0" fontId="0" fillId="3" borderId="2" xfId="0" applyFont="1" applyFill="1" applyBorder="1" applyAlignment="1" applyProtection="1">
      <alignment horizontal="center" vertical="center"/>
    </xf>
    <xf numFmtId="0" fontId="93" fillId="3" borderId="2" xfId="0" applyFont="1" applyFill="1" applyBorder="1" applyAlignment="1" applyProtection="1">
      <alignment horizontal="center" vertical="center"/>
    </xf>
    <xf numFmtId="0" fontId="93" fillId="3" borderId="11" xfId="0" applyFont="1" applyFill="1" applyBorder="1" applyAlignment="1" applyProtection="1">
      <alignment horizontal="center" vertical="center"/>
    </xf>
    <xf numFmtId="0" fontId="0" fillId="3" borderId="51" xfId="0" applyFont="1" applyFill="1" applyBorder="1" applyAlignment="1" applyProtection="1">
      <alignment horizontal="center" vertical="center" wrapText="1"/>
    </xf>
    <xf numFmtId="0" fontId="0" fillId="3" borderId="61" xfId="0" applyFont="1" applyFill="1" applyBorder="1" applyAlignment="1" applyProtection="1">
      <alignment horizontal="center" vertical="center" wrapText="1"/>
    </xf>
    <xf numFmtId="0" fontId="91" fillId="3" borderId="9" xfId="2" quotePrefix="1" applyFont="1" applyFill="1" applyBorder="1" applyAlignment="1" applyProtection="1">
      <alignment horizontal="center" vertical="center" wrapText="1"/>
    </xf>
    <xf numFmtId="0" fontId="91" fillId="3" borderId="15" xfId="2" applyFont="1" applyFill="1" applyBorder="1" applyAlignment="1" applyProtection="1">
      <alignment horizontal="center" vertical="center" wrapText="1"/>
    </xf>
    <xf numFmtId="0" fontId="102" fillId="7" borderId="8" xfId="0" applyFont="1" applyFill="1" applyBorder="1" applyAlignment="1" applyProtection="1">
      <alignment horizontal="center" vertical="center" wrapText="1"/>
    </xf>
    <xf numFmtId="0" fontId="102" fillId="7" borderId="14" xfId="0" applyFont="1" applyFill="1" applyBorder="1" applyAlignment="1" applyProtection="1">
      <alignment horizontal="center" vertical="center" wrapText="1"/>
    </xf>
    <xf numFmtId="0" fontId="102" fillId="7" borderId="62" xfId="0" applyFont="1" applyFill="1" applyBorder="1" applyAlignment="1" applyProtection="1">
      <alignment horizontal="center" vertical="center" wrapText="1"/>
    </xf>
    <xf numFmtId="0" fontId="102" fillId="7" borderId="63" xfId="0" applyFont="1" applyFill="1" applyBorder="1" applyAlignment="1" applyProtection="1">
      <alignment horizontal="center" vertical="center" wrapText="1"/>
    </xf>
    <xf numFmtId="0" fontId="102" fillId="7" borderId="69" xfId="0" applyFont="1" applyFill="1" applyBorder="1" applyAlignment="1" applyProtection="1">
      <alignment horizontal="center" vertical="center" wrapText="1"/>
    </xf>
    <xf numFmtId="0" fontId="48" fillId="5" borderId="11" xfId="0" applyFont="1" applyFill="1" applyBorder="1" applyAlignment="1" applyProtection="1">
      <alignment horizontal="left" vertical="center" wrapText="1"/>
    </xf>
    <xf numFmtId="0" fontId="48" fillId="3" borderId="62" xfId="0" applyFont="1" applyFill="1" applyBorder="1" applyAlignment="1" applyProtection="1">
      <alignment horizontal="center" vertical="center" wrapText="1"/>
    </xf>
    <xf numFmtId="0" fontId="48" fillId="3" borderId="63" xfId="0" applyFont="1" applyFill="1" applyBorder="1" applyAlignment="1" applyProtection="1">
      <alignment horizontal="center" vertical="center" wrapText="1"/>
    </xf>
    <xf numFmtId="0" fontId="48" fillId="3" borderId="69" xfId="0" applyFont="1" applyFill="1" applyBorder="1" applyAlignment="1" applyProtection="1">
      <alignment horizontal="center" vertical="center" wrapText="1"/>
    </xf>
    <xf numFmtId="0" fontId="101" fillId="7" borderId="0" xfId="0" applyFont="1" applyFill="1" applyAlignment="1" applyProtection="1">
      <alignment horizontal="left" vertical="center" wrapText="1"/>
    </xf>
    <xf numFmtId="0" fontId="107" fillId="3" borderId="49" xfId="0" applyFont="1" applyFill="1" applyBorder="1" applyAlignment="1" applyProtection="1">
      <alignment horizontal="center" vertical="center" textRotation="255" wrapText="1"/>
    </xf>
    <xf numFmtId="0" fontId="107" fillId="3" borderId="59" xfId="0" applyFont="1" applyFill="1" applyBorder="1" applyAlignment="1" applyProtection="1">
      <alignment horizontal="center" vertical="center" textRotation="255" wrapText="1"/>
    </xf>
    <xf numFmtId="0" fontId="0" fillId="2" borderId="47" xfId="0" applyFont="1" applyFill="1" applyBorder="1" applyAlignment="1" applyProtection="1">
      <alignment horizontal="left" vertical="center" wrapText="1"/>
    </xf>
    <xf numFmtId="0" fontId="0" fillId="2" borderId="60" xfId="0" applyFont="1" applyFill="1" applyBorder="1" applyAlignment="1" applyProtection="1">
      <alignment horizontal="left" vertical="center" wrapText="1"/>
    </xf>
    <xf numFmtId="0" fontId="56" fillId="3" borderId="7" xfId="0" applyFont="1" applyFill="1" applyBorder="1" applyAlignment="1" applyProtection="1">
      <alignment horizontal="center" vertical="center" textRotation="255"/>
    </xf>
    <xf numFmtId="0" fontId="56" fillId="3" borderId="52" xfId="0" applyFont="1" applyFill="1" applyBorder="1" applyAlignment="1" applyProtection="1">
      <alignment horizontal="center" vertical="center" textRotation="255"/>
    </xf>
    <xf numFmtId="0" fontId="56" fillId="3" borderId="27" xfId="0" applyFont="1" applyFill="1" applyBorder="1" applyAlignment="1" applyProtection="1">
      <alignment horizontal="center" vertical="center" textRotation="255"/>
    </xf>
    <xf numFmtId="0" fontId="56" fillId="3" borderId="13" xfId="0" applyFont="1" applyFill="1" applyBorder="1" applyAlignment="1" applyProtection="1">
      <alignment horizontal="center" vertical="center" textRotation="255"/>
    </xf>
    <xf numFmtId="0" fontId="56" fillId="3" borderId="10" xfId="0" applyFont="1" applyFill="1" applyBorder="1" applyAlignment="1" applyProtection="1">
      <alignment horizontal="center" vertical="center" textRotation="255"/>
    </xf>
    <xf numFmtId="0" fontId="48" fillId="7" borderId="53" xfId="0" applyFont="1" applyFill="1" applyBorder="1" applyAlignment="1" applyProtection="1">
      <alignment horizontal="center" vertical="center" wrapText="1"/>
    </xf>
    <xf numFmtId="0" fontId="48" fillId="7" borderId="64" xfId="0" applyFont="1" applyFill="1" applyBorder="1" applyAlignment="1" applyProtection="1">
      <alignment horizontal="center" vertical="center" wrapText="1"/>
    </xf>
    <xf numFmtId="0" fontId="48" fillId="7" borderId="54" xfId="0" applyFont="1" applyFill="1" applyBorder="1" applyAlignment="1" applyProtection="1">
      <alignment horizontal="center" vertical="center" wrapText="1"/>
    </xf>
    <xf numFmtId="0" fontId="103" fillId="3" borderId="7" xfId="0" applyFont="1" applyFill="1" applyBorder="1" applyAlignment="1" applyProtection="1">
      <alignment horizontal="center" vertical="center" textRotation="255" wrapText="1"/>
    </xf>
    <xf numFmtId="0" fontId="103" fillId="3" borderId="27" xfId="0" applyFont="1" applyFill="1" applyBorder="1" applyAlignment="1" applyProtection="1">
      <alignment horizontal="center" vertical="center" textRotation="255" wrapText="1"/>
    </xf>
    <xf numFmtId="0" fontId="103" fillId="3" borderId="10" xfId="0" applyFont="1" applyFill="1" applyBorder="1" applyAlignment="1" applyProtection="1">
      <alignment horizontal="center" vertical="center" textRotation="255" wrapText="1"/>
    </xf>
    <xf numFmtId="0" fontId="96" fillId="7" borderId="13" xfId="0" applyFont="1" applyFill="1" applyBorder="1" applyAlignment="1" applyProtection="1">
      <alignment horizontal="center" vertical="center" wrapText="1"/>
    </xf>
    <xf numFmtId="0" fontId="55" fillId="3" borderId="7" xfId="0" applyFont="1" applyFill="1" applyBorder="1" applyAlignment="1" applyProtection="1">
      <alignment horizontal="center" vertical="center" textRotation="255"/>
    </xf>
    <xf numFmtId="0" fontId="55" fillId="3" borderId="27" xfId="0" applyFont="1" applyFill="1" applyBorder="1" applyAlignment="1" applyProtection="1">
      <alignment horizontal="center" vertical="center" textRotation="255"/>
    </xf>
    <xf numFmtId="0" fontId="55" fillId="3" borderId="10" xfId="0" applyFont="1" applyFill="1" applyBorder="1" applyAlignment="1" applyProtection="1">
      <alignment horizontal="center" vertical="center" textRotation="255"/>
    </xf>
    <xf numFmtId="0" fontId="0" fillId="0" borderId="8" xfId="0" applyFont="1" applyFill="1" applyBorder="1" applyAlignment="1" applyProtection="1">
      <alignment horizontal="left" vertical="center" wrapText="1"/>
    </xf>
    <xf numFmtId="0" fontId="0" fillId="0" borderId="14" xfId="0" applyFont="1" applyFill="1" applyBorder="1" applyAlignment="1" applyProtection="1">
      <alignment horizontal="left" vertical="center" wrapText="1"/>
    </xf>
    <xf numFmtId="0" fontId="100" fillId="2" borderId="0" xfId="0" applyFont="1" applyFill="1" applyAlignment="1" applyProtection="1">
      <alignment horizontal="center" vertical="center"/>
    </xf>
    <xf numFmtId="0" fontId="0" fillId="3" borderId="33" xfId="0" applyFont="1" applyFill="1" applyBorder="1" applyAlignment="1" applyProtection="1">
      <alignment horizontal="center" vertical="center" wrapText="1"/>
    </xf>
    <xf numFmtId="0" fontId="0" fillId="3" borderId="65" xfId="0" applyFont="1" applyFill="1" applyBorder="1" applyAlignment="1" applyProtection="1">
      <alignment horizontal="center" vertical="center" wrapText="1"/>
    </xf>
    <xf numFmtId="0" fontId="0" fillId="3" borderId="34" xfId="0" applyFont="1" applyFill="1" applyBorder="1" applyAlignment="1" applyProtection="1">
      <alignment horizontal="center" vertical="center" wrapText="1"/>
    </xf>
    <xf numFmtId="0" fontId="0" fillId="3" borderId="15" xfId="0" applyFont="1" applyFill="1" applyBorder="1" applyAlignment="1" applyProtection="1">
      <alignment horizontal="center" vertical="center" wrapText="1"/>
    </xf>
    <xf numFmtId="0" fontId="99" fillId="7" borderId="8" xfId="0" applyFont="1" applyFill="1" applyBorder="1" applyAlignment="1" applyProtection="1">
      <alignment horizontal="center" vertical="center" wrapText="1"/>
    </xf>
    <xf numFmtId="0" fontId="99" fillId="7" borderId="2" xfId="0" applyFont="1" applyFill="1" applyBorder="1" applyAlignment="1" applyProtection="1">
      <alignment horizontal="center" vertical="center" wrapText="1"/>
    </xf>
    <xf numFmtId="0" fontId="99" fillId="7" borderId="11" xfId="0" applyFont="1" applyFill="1" applyBorder="1" applyAlignment="1" applyProtection="1">
      <alignment horizontal="center" vertical="center" wrapText="1"/>
    </xf>
    <xf numFmtId="0" fontId="48" fillId="3" borderId="60" xfId="0" applyFont="1" applyFill="1" applyBorder="1" applyAlignment="1" applyProtection="1">
      <alignment horizontal="center" vertical="center" wrapText="1"/>
    </xf>
    <xf numFmtId="0" fontId="99" fillId="7" borderId="14" xfId="0" applyFont="1" applyFill="1" applyBorder="1" applyAlignment="1" applyProtection="1">
      <alignment horizontal="center" vertical="center" wrapText="1"/>
    </xf>
    <xf numFmtId="0" fontId="48" fillId="3" borderId="9" xfId="2" applyFont="1" applyFill="1" applyBorder="1" applyAlignment="1" applyProtection="1">
      <alignment horizontal="center" vertical="center" wrapText="1"/>
    </xf>
    <xf numFmtId="0" fontId="48" fillId="3" borderId="15" xfId="2" applyFont="1" applyFill="1" applyBorder="1" applyAlignment="1" applyProtection="1">
      <alignment horizontal="center" vertical="center" wrapText="1"/>
    </xf>
    <xf numFmtId="0" fontId="0" fillId="3" borderId="47" xfId="0" applyFont="1" applyFill="1" applyBorder="1" applyAlignment="1" applyProtection="1">
      <alignment horizontal="center" vertical="center"/>
    </xf>
    <xf numFmtId="0" fontId="0" fillId="3" borderId="60" xfId="0" applyFont="1" applyFill="1" applyBorder="1" applyAlignment="1" applyProtection="1">
      <alignment horizontal="center" vertical="center"/>
    </xf>
    <xf numFmtId="0" fontId="93" fillId="3" borderId="14" xfId="0" applyFont="1" applyFill="1" applyBorder="1" applyAlignment="1" applyProtection="1">
      <alignment horizontal="center" vertical="center"/>
    </xf>
    <xf numFmtId="0" fontId="93" fillId="3" borderId="44" xfId="0" applyFont="1" applyFill="1" applyBorder="1" applyAlignment="1" applyProtection="1">
      <alignment horizontal="center" vertical="center"/>
    </xf>
    <xf numFmtId="0" fontId="93" fillId="3" borderId="60" xfId="0" applyFont="1" applyFill="1" applyBorder="1" applyAlignment="1" applyProtection="1">
      <alignment horizontal="center" vertical="center"/>
    </xf>
    <xf numFmtId="0" fontId="0" fillId="3" borderId="14" xfId="0" applyFont="1" applyFill="1" applyBorder="1" applyAlignment="1" applyProtection="1">
      <alignment horizontal="center"/>
    </xf>
    <xf numFmtId="0" fontId="40" fillId="7" borderId="0" xfId="0" applyFont="1" applyFill="1" applyAlignment="1" applyProtection="1">
      <alignment horizontal="center" vertical="center" wrapText="1"/>
    </xf>
    <xf numFmtId="0" fontId="46" fillId="0" borderId="56" xfId="0" applyFont="1" applyBorder="1" applyAlignment="1" applyProtection="1">
      <alignment horizontal="center" vertical="center"/>
    </xf>
    <xf numFmtId="0" fontId="46" fillId="0" borderId="57" xfId="0" applyFont="1" applyBorder="1" applyAlignment="1" applyProtection="1">
      <alignment horizontal="center" vertical="center"/>
    </xf>
    <xf numFmtId="0" fontId="46" fillId="0" borderId="58" xfId="0" applyFont="1" applyBorder="1" applyAlignment="1" applyProtection="1">
      <alignment horizontal="center" vertical="center"/>
    </xf>
    <xf numFmtId="0" fontId="2" fillId="0" borderId="35"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2" fillId="0" borderId="24" xfId="0" applyFont="1" applyBorder="1" applyAlignment="1" applyProtection="1">
      <alignment horizontal="center" vertical="center" wrapText="1"/>
    </xf>
    <xf numFmtId="0" fontId="44" fillId="0" borderId="23" xfId="0" applyFont="1" applyBorder="1" applyAlignment="1" applyProtection="1">
      <alignment horizontal="center" vertical="center"/>
    </xf>
    <xf numFmtId="0" fontId="44" fillId="0" borderId="28" xfId="0" applyFont="1" applyBorder="1" applyAlignment="1" applyProtection="1">
      <alignment horizontal="center" vertical="center"/>
    </xf>
    <xf numFmtId="0" fontId="44" fillId="0" borderId="24" xfId="0" applyFont="1" applyBorder="1" applyAlignment="1" applyProtection="1">
      <alignment horizontal="center" vertical="center"/>
    </xf>
    <xf numFmtId="0" fontId="45" fillId="0" borderId="35" xfId="0" applyFont="1" applyBorder="1" applyAlignment="1" applyProtection="1">
      <alignment horizontal="center" vertical="center"/>
    </xf>
    <xf numFmtId="0" fontId="45" fillId="0" borderId="28" xfId="0" applyFont="1" applyBorder="1" applyAlignment="1" applyProtection="1">
      <alignment horizontal="center" vertical="center"/>
    </xf>
    <xf numFmtId="0" fontId="45" fillId="0" borderId="29" xfId="0" applyFont="1" applyBorder="1" applyAlignment="1" applyProtection="1">
      <alignment horizontal="center" vertical="center"/>
    </xf>
    <xf numFmtId="0" fontId="47" fillId="0" borderId="42" xfId="0" applyFont="1" applyBorder="1" applyAlignment="1" applyProtection="1">
      <alignment horizontal="center" vertical="center"/>
    </xf>
    <xf numFmtId="0" fontId="47" fillId="0" borderId="41" xfId="0" applyFont="1" applyBorder="1" applyAlignment="1" applyProtection="1">
      <alignment horizontal="center" vertical="center"/>
    </xf>
    <xf numFmtId="0" fontId="47" fillId="0" borderId="48" xfId="0" applyFont="1" applyBorder="1" applyAlignment="1" applyProtection="1">
      <alignment horizontal="center" vertical="center"/>
    </xf>
    <xf numFmtId="0" fontId="41" fillId="7" borderId="36" xfId="0" applyFont="1" applyFill="1" applyBorder="1" applyAlignment="1" applyProtection="1">
      <alignment horizontal="left" vertical="center"/>
    </xf>
    <xf numFmtId="0" fontId="43" fillId="3" borderId="0" xfId="0" applyFont="1" applyFill="1" applyAlignment="1" applyProtection="1">
      <alignment horizontal="center" vertical="center" wrapText="1"/>
      <protection locked="0"/>
    </xf>
    <xf numFmtId="0" fontId="42" fillId="3" borderId="16" xfId="0" applyFont="1" applyFill="1" applyBorder="1" applyAlignment="1" applyProtection="1">
      <alignment horizontal="center" vertical="center" wrapText="1"/>
      <protection locked="0"/>
    </xf>
    <xf numFmtId="0" fontId="42" fillId="3" borderId="17" xfId="0" applyFont="1" applyFill="1" applyBorder="1" applyAlignment="1" applyProtection="1">
      <alignment horizontal="center" vertical="center" wrapText="1"/>
      <protection locked="0"/>
    </xf>
    <xf numFmtId="0" fontId="42" fillId="3" borderId="18" xfId="0" applyFont="1" applyFill="1" applyBorder="1" applyAlignment="1" applyProtection="1">
      <alignment horizontal="center" vertical="center" wrapText="1"/>
      <protection locked="0"/>
    </xf>
    <xf numFmtId="0" fontId="42" fillId="3" borderId="37" xfId="0" applyFont="1" applyFill="1" applyBorder="1" applyAlignment="1" applyProtection="1">
      <alignment horizontal="center" vertical="center" wrapText="1"/>
      <protection locked="0"/>
    </xf>
    <xf numFmtId="0" fontId="42" fillId="3" borderId="0" xfId="0" applyFont="1" applyFill="1" applyAlignment="1" applyProtection="1">
      <alignment horizontal="center" vertical="center" wrapText="1"/>
      <protection locked="0"/>
    </xf>
    <xf numFmtId="0" fontId="42" fillId="3" borderId="22" xfId="0" applyFont="1" applyFill="1" applyBorder="1" applyAlignment="1" applyProtection="1">
      <alignment horizontal="center" vertical="center" wrapText="1"/>
      <protection locked="0"/>
    </xf>
    <xf numFmtId="0" fontId="42" fillId="3" borderId="19" xfId="0" applyFont="1" applyFill="1" applyBorder="1" applyAlignment="1" applyProtection="1">
      <alignment horizontal="center" vertical="center" wrapText="1"/>
      <protection locked="0"/>
    </xf>
    <xf numFmtId="0" fontId="42" fillId="3" borderId="20" xfId="0" applyFont="1" applyFill="1" applyBorder="1" applyAlignment="1" applyProtection="1">
      <alignment horizontal="center" vertical="center" wrapText="1"/>
      <protection locked="0"/>
    </xf>
    <xf numFmtId="0" fontId="42" fillId="3" borderId="21" xfId="0" applyFont="1" applyFill="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64" fillId="7" borderId="16" xfId="0" applyFont="1" applyFill="1" applyBorder="1" applyAlignment="1" applyProtection="1">
      <alignment horizontal="left" vertical="center" wrapText="1"/>
    </xf>
    <xf numFmtId="0" fontId="64" fillId="7" borderId="17" xfId="0" applyFont="1" applyFill="1" applyBorder="1" applyAlignment="1" applyProtection="1">
      <alignment horizontal="left" vertical="center" wrapText="1"/>
    </xf>
    <xf numFmtId="0" fontId="66" fillId="7" borderId="19" xfId="0" applyFont="1" applyFill="1" applyBorder="1" applyAlignment="1" applyProtection="1">
      <alignment horizontal="left" vertical="center" wrapText="1"/>
    </xf>
    <xf numFmtId="0" fontId="66" fillId="7" borderId="20" xfId="0" applyFont="1" applyFill="1" applyBorder="1" applyAlignment="1" applyProtection="1">
      <alignment horizontal="left" vertical="center" wrapText="1"/>
    </xf>
    <xf numFmtId="0" fontId="66" fillId="7" borderId="21" xfId="0" applyFont="1" applyFill="1" applyBorder="1" applyAlignment="1" applyProtection="1">
      <alignment horizontal="left" vertical="center" wrapText="1"/>
    </xf>
    <xf numFmtId="0" fontId="66" fillId="7" borderId="37" xfId="0" applyFont="1" applyFill="1" applyBorder="1" applyAlignment="1" applyProtection="1">
      <alignment horizontal="left" vertical="center" wrapText="1"/>
    </xf>
    <xf numFmtId="0" fontId="66" fillId="7" borderId="0" xfId="0" applyFont="1" applyFill="1" applyBorder="1" applyAlignment="1" applyProtection="1">
      <alignment horizontal="left" vertical="center" wrapText="1"/>
    </xf>
    <xf numFmtId="0" fontId="66" fillId="7" borderId="22" xfId="0" applyFont="1" applyFill="1" applyBorder="1" applyAlignment="1" applyProtection="1">
      <alignment horizontal="left" vertical="center" wrapText="1"/>
    </xf>
    <xf numFmtId="0" fontId="62" fillId="7" borderId="20" xfId="0" applyFont="1" applyFill="1" applyBorder="1" applyAlignment="1" applyProtection="1">
      <alignment horizontal="left" vertical="center" wrapText="1"/>
    </xf>
    <xf numFmtId="0" fontId="63" fillId="7" borderId="0" xfId="0" applyFont="1" applyFill="1" applyAlignment="1" applyProtection="1">
      <alignment horizontal="center" vertical="center" wrapText="1"/>
    </xf>
    <xf numFmtId="9" fontId="29" fillId="3" borderId="30" xfId="1" applyFont="1" applyFill="1" applyBorder="1" applyAlignment="1" applyProtection="1">
      <alignment horizontal="left" vertical="center"/>
    </xf>
    <xf numFmtId="9" fontId="29" fillId="3" borderId="26" xfId="1" applyFont="1" applyFill="1" applyBorder="1" applyAlignment="1" applyProtection="1">
      <alignment horizontal="left" vertical="center"/>
    </xf>
    <xf numFmtId="9" fontId="29" fillId="3" borderId="30" xfId="1" applyFont="1" applyFill="1" applyBorder="1" applyAlignment="1" applyProtection="1">
      <alignment horizontal="left" vertical="center" wrapText="1"/>
    </xf>
    <xf numFmtId="9" fontId="29" fillId="3" borderId="26" xfId="1" applyFont="1" applyFill="1" applyBorder="1" applyAlignment="1" applyProtection="1">
      <alignment horizontal="left" vertical="center" wrapText="1"/>
    </xf>
    <xf numFmtId="0" fontId="19" fillId="2" borderId="0" xfId="0" applyFont="1" applyFill="1" applyAlignment="1" applyProtection="1">
      <alignment horizontal="center" vertical="center" wrapText="1"/>
      <protection locked="0"/>
    </xf>
    <xf numFmtId="0" fontId="73" fillId="7" borderId="0" xfId="0" applyFont="1" applyFill="1" applyAlignment="1" applyProtection="1">
      <alignment horizontal="left" vertical="center" wrapText="1"/>
    </xf>
    <xf numFmtId="0" fontId="19" fillId="2" borderId="0" xfId="0" applyFont="1" applyFill="1" applyAlignment="1" applyProtection="1">
      <alignment horizontal="left" vertical="center" wrapText="1"/>
      <protection locked="0"/>
    </xf>
    <xf numFmtId="0" fontId="62" fillId="7" borderId="0" xfId="0" applyFont="1" applyFill="1" applyAlignment="1" applyProtection="1">
      <alignment horizontal="left" vertical="center" wrapText="1"/>
    </xf>
    <xf numFmtId="0" fontId="0" fillId="3" borderId="30" xfId="0" applyFill="1" applyBorder="1" applyAlignment="1" applyProtection="1">
      <alignment vertical="center" wrapText="1"/>
    </xf>
    <xf numFmtId="0" fontId="0" fillId="3" borderId="26" xfId="0" applyFill="1" applyBorder="1" applyAlignment="1" applyProtection="1">
      <alignment vertical="center" wrapText="1"/>
    </xf>
    <xf numFmtId="0" fontId="71" fillId="13" borderId="29" xfId="0" applyFont="1" applyFill="1" applyBorder="1" applyAlignment="1" applyProtection="1">
      <alignment horizontal="center" vertical="center" wrapText="1"/>
    </xf>
    <xf numFmtId="0" fontId="71" fillId="13" borderId="41" xfId="0" applyFont="1" applyFill="1" applyBorder="1" applyAlignment="1" applyProtection="1">
      <alignment horizontal="center" vertical="center" wrapText="1"/>
    </xf>
    <xf numFmtId="0" fontId="70" fillId="12" borderId="18" xfId="0" applyFont="1" applyFill="1" applyBorder="1" applyAlignment="1" applyProtection="1">
      <alignment horizontal="center" vertical="center" wrapText="1"/>
    </xf>
    <xf numFmtId="0" fontId="70" fillId="12" borderId="55" xfId="0" applyFont="1" applyFill="1" applyBorder="1" applyAlignment="1" applyProtection="1">
      <alignment horizontal="center" vertical="center" wrapText="1"/>
    </xf>
    <xf numFmtId="9" fontId="75" fillId="7" borderId="25" xfId="0" applyNumberFormat="1" applyFont="1" applyFill="1" applyBorder="1" applyAlignment="1" applyProtection="1">
      <alignment horizontal="center" vertical="center" wrapText="1"/>
    </xf>
    <xf numFmtId="9" fontId="75" fillId="7" borderId="26" xfId="0" applyNumberFormat="1" applyFont="1" applyFill="1" applyBorder="1" applyAlignment="1" applyProtection="1">
      <alignment horizontal="center" vertical="center" wrapText="1"/>
    </xf>
    <xf numFmtId="9" fontId="29" fillId="3" borderId="20" xfId="1" applyFont="1" applyFill="1" applyBorder="1" applyAlignment="1" applyProtection="1">
      <alignment horizontal="left" vertical="center" wrapText="1"/>
    </xf>
    <xf numFmtId="9" fontId="29" fillId="3" borderId="21" xfId="1" applyFont="1" applyFill="1" applyBorder="1" applyAlignment="1" applyProtection="1">
      <alignment horizontal="left" vertical="center" wrapText="1"/>
    </xf>
    <xf numFmtId="0" fontId="14" fillId="4" borderId="62" xfId="0" applyFont="1" applyFill="1" applyBorder="1" applyAlignment="1" applyProtection="1">
      <alignment horizontal="center" vertical="center" wrapText="1"/>
    </xf>
    <xf numFmtId="0" fontId="14" fillId="4" borderId="63" xfId="0" applyFont="1" applyFill="1" applyBorder="1" applyAlignment="1" applyProtection="1">
      <alignment horizontal="center" vertical="center" wrapText="1"/>
    </xf>
    <xf numFmtId="0" fontId="75" fillId="7" borderId="0" xfId="0" applyFont="1" applyFill="1" applyAlignment="1" applyProtection="1">
      <alignment horizontal="left" vertical="center" wrapText="1"/>
    </xf>
    <xf numFmtId="167" fontId="11" fillId="6" borderId="2" xfId="0" applyNumberFormat="1" applyFont="1" applyFill="1" applyBorder="1" applyAlignment="1" applyProtection="1">
      <alignment horizontal="center" vertical="center"/>
    </xf>
    <xf numFmtId="167" fontId="11" fillId="6" borderId="14" xfId="0" applyNumberFormat="1" applyFont="1" applyFill="1" applyBorder="1" applyAlignment="1" applyProtection="1">
      <alignment horizontal="center" vertical="center"/>
    </xf>
    <xf numFmtId="0" fontId="70" fillId="12" borderId="17" xfId="0" applyFont="1" applyFill="1" applyBorder="1" applyAlignment="1" applyProtection="1">
      <alignment horizontal="center" vertical="center" wrapText="1"/>
    </xf>
    <xf numFmtId="0" fontId="70" fillId="12" borderId="0" xfId="0" applyFont="1" applyFill="1" applyBorder="1" applyAlignment="1" applyProtection="1">
      <alignment horizontal="center" vertical="center" wrapText="1"/>
    </xf>
    <xf numFmtId="0" fontId="71" fillId="13" borderId="2" xfId="0" applyFont="1" applyFill="1" applyBorder="1" applyAlignment="1" applyProtection="1">
      <alignment horizontal="center" vertical="center" wrapText="1"/>
    </xf>
    <xf numFmtId="0" fontId="71" fillId="13" borderId="14" xfId="0" applyFont="1" applyFill="1" applyBorder="1" applyAlignment="1" applyProtection="1">
      <alignment horizontal="center" vertical="center" wrapText="1"/>
    </xf>
    <xf numFmtId="0" fontId="11" fillId="14" borderId="17" xfId="0" applyFont="1" applyFill="1" applyBorder="1" applyAlignment="1" applyProtection="1">
      <alignment horizontal="center" vertical="center"/>
    </xf>
    <xf numFmtId="0" fontId="11" fillId="14" borderId="18" xfId="0" applyFont="1" applyFill="1" applyBorder="1" applyAlignment="1" applyProtection="1">
      <alignment horizontal="center" vertical="center"/>
    </xf>
    <xf numFmtId="0" fontId="11" fillId="14" borderId="20" xfId="0" applyFont="1" applyFill="1" applyBorder="1" applyAlignment="1" applyProtection="1">
      <alignment horizontal="center" vertical="center"/>
    </xf>
    <xf numFmtId="0" fontId="11" fillId="14" borderId="21" xfId="0" applyFont="1" applyFill="1" applyBorder="1" applyAlignment="1" applyProtection="1">
      <alignment horizontal="center" vertical="center"/>
    </xf>
    <xf numFmtId="0" fontId="74" fillId="7" borderId="0" xfId="0" applyFont="1" applyFill="1" applyAlignment="1" applyProtection="1">
      <alignment horizontal="left" vertical="center" wrapText="1"/>
    </xf>
    <xf numFmtId="0" fontId="48" fillId="3" borderId="30" xfId="2" applyFont="1" applyFill="1" applyBorder="1" applyAlignment="1" applyProtection="1">
      <alignment vertical="center" wrapText="1"/>
    </xf>
    <xf numFmtId="0" fontId="48" fillId="3" borderId="30" xfId="0" applyFont="1" applyFill="1" applyBorder="1" applyAlignment="1" applyProtection="1">
      <alignment vertical="center" wrapText="1"/>
    </xf>
    <xf numFmtId="0" fontId="48" fillId="3" borderId="26" xfId="0" applyFont="1" applyFill="1" applyBorder="1" applyAlignment="1" applyProtection="1">
      <alignment vertical="center" wrapText="1"/>
    </xf>
    <xf numFmtId="9" fontId="65" fillId="7" borderId="17" xfId="0" applyNumberFormat="1" applyFont="1" applyFill="1" applyBorder="1" applyAlignment="1" applyProtection="1">
      <alignment horizontal="center" vertical="center"/>
    </xf>
    <xf numFmtId="9" fontId="65" fillId="7" borderId="18" xfId="0" applyNumberFormat="1" applyFont="1" applyFill="1" applyBorder="1" applyAlignment="1" applyProtection="1">
      <alignment horizontal="center" vertical="center"/>
    </xf>
    <xf numFmtId="0" fontId="72" fillId="7" borderId="0" xfId="0" applyFont="1" applyFill="1" applyAlignment="1" applyProtection="1">
      <alignment horizontal="left" vertical="center" wrapText="1"/>
    </xf>
    <xf numFmtId="0" fontId="82" fillId="7" borderId="0" xfId="0" applyFont="1" applyFill="1" applyAlignment="1" applyProtection="1">
      <alignment horizontal="left" vertical="center" wrapText="1"/>
    </xf>
    <xf numFmtId="0" fontId="81" fillId="7" borderId="0" xfId="0" applyFont="1" applyFill="1" applyAlignment="1" applyProtection="1">
      <alignment horizontal="left" vertical="center" wrapText="1"/>
    </xf>
    <xf numFmtId="0" fontId="36" fillId="7" borderId="0" xfId="0" applyFont="1" applyFill="1" applyAlignment="1" applyProtection="1">
      <alignment horizontal="left" vertical="center" wrapText="1"/>
    </xf>
    <xf numFmtId="0" fontId="37" fillId="7" borderId="0" xfId="0" applyFont="1" applyFill="1" applyAlignment="1" applyProtection="1">
      <alignment horizontal="left" vertical="center" wrapText="1"/>
    </xf>
    <xf numFmtId="0" fontId="86" fillId="7" borderId="0" xfId="0" applyFont="1" applyFill="1" applyAlignment="1" applyProtection="1">
      <alignment horizontal="center" vertical="center" wrapText="1"/>
    </xf>
    <xf numFmtId="0" fontId="87" fillId="7" borderId="0" xfId="0" applyFont="1" applyFill="1" applyAlignment="1" applyProtection="1">
      <alignment horizontal="center" vertical="center" wrapText="1"/>
    </xf>
    <xf numFmtId="0" fontId="88" fillId="7" borderId="0" xfId="0" applyFont="1" applyFill="1" applyAlignment="1" applyProtection="1">
      <alignment horizontal="center" vertical="center" wrapText="1"/>
    </xf>
    <xf numFmtId="0" fontId="89" fillId="7" borderId="0" xfId="0" applyFont="1" applyFill="1" applyAlignment="1" applyProtection="1">
      <alignment horizontal="center" vertical="center" wrapText="1"/>
    </xf>
    <xf numFmtId="0" fontId="78" fillId="7" borderId="0" xfId="0" applyFont="1" applyFill="1" applyAlignment="1" applyProtection="1">
      <alignment horizontal="left" vertical="center" wrapText="1"/>
    </xf>
    <xf numFmtId="0" fontId="54" fillId="3" borderId="0" xfId="0" applyFont="1" applyFill="1" applyAlignment="1">
      <alignment horizontal="center" vertical="center" wrapText="1"/>
    </xf>
    <xf numFmtId="0" fontId="0" fillId="0" borderId="0" xfId="0" applyAlignment="1">
      <alignment horizontal="center" wrapText="1"/>
    </xf>
    <xf numFmtId="0" fontId="3" fillId="0" borderId="0" xfId="0" applyFont="1" applyAlignment="1" applyProtection="1">
      <alignment horizontal="left" vertical="center" wrapText="1"/>
      <protection locked="0"/>
    </xf>
    <xf numFmtId="0" fontId="31" fillId="0" borderId="0" xfId="0" applyFont="1" applyAlignment="1" applyProtection="1">
      <alignment horizontal="center"/>
      <protection locked="0"/>
    </xf>
    <xf numFmtId="0" fontId="30" fillId="9" borderId="0" xfId="0" applyFont="1" applyFill="1" applyAlignment="1" applyProtection="1">
      <alignment horizontal="center"/>
      <protection locked="0"/>
    </xf>
    <xf numFmtId="0" fontId="3" fillId="0" borderId="0" xfId="0" applyFont="1" applyAlignment="1" applyProtection="1">
      <alignment horizontal="left"/>
      <protection locked="0"/>
    </xf>
    <xf numFmtId="0" fontId="5" fillId="0" borderId="0" xfId="0" applyFont="1" applyAlignment="1" applyProtection="1">
      <alignment horizontal="center" wrapText="1"/>
      <protection locked="0"/>
    </xf>
    <xf numFmtId="0" fontId="31" fillId="3" borderId="2" xfId="0" applyFont="1" applyFill="1" applyBorder="1" applyAlignment="1" applyProtection="1">
      <alignment horizontal="center"/>
      <protection locked="0"/>
    </xf>
    <xf numFmtId="0" fontId="3" fillId="3" borderId="0" xfId="0" applyFont="1" applyFill="1" applyAlignment="1" applyProtection="1">
      <alignment horizontal="left" vertical="center" wrapText="1"/>
      <protection locked="0"/>
    </xf>
    <xf numFmtId="0" fontId="5" fillId="0" borderId="0" xfId="0" applyFont="1" applyAlignment="1">
      <alignment horizontal="center" wrapText="1"/>
    </xf>
    <xf numFmtId="0" fontId="31" fillId="0" borderId="0" xfId="0" applyFont="1" applyAlignment="1">
      <alignment horizontal="center"/>
    </xf>
    <xf numFmtId="0" fontId="3" fillId="0" borderId="0" xfId="0" applyFont="1" applyAlignment="1">
      <alignment horizontal="left"/>
    </xf>
    <xf numFmtId="0" fontId="3" fillId="0" borderId="0" xfId="0" applyFont="1" applyAlignment="1">
      <alignment horizontal="left" vertical="center" wrapText="1"/>
    </xf>
    <xf numFmtId="0" fontId="3" fillId="3" borderId="0" xfId="0" applyFont="1" applyFill="1" applyAlignment="1">
      <alignment horizontal="left" vertical="center" wrapText="1"/>
    </xf>
    <xf numFmtId="0" fontId="31" fillId="3" borderId="2" xfId="0" applyFont="1" applyFill="1" applyBorder="1" applyAlignment="1">
      <alignment horizontal="center"/>
    </xf>
  </cellXfs>
  <cellStyles count="9">
    <cellStyle name="Hiperligação" xfId="2" builtinId="8"/>
    <cellStyle name="Moeda 2" xfId="7"/>
    <cellStyle name="Normal" xfId="0" builtinId="0"/>
    <cellStyle name="Normal 2" xfId="3"/>
    <cellStyle name="Normal 2 2 2" xfId="4"/>
    <cellStyle name="Normal 3" xfId="6"/>
    <cellStyle name="Percentagem" xfId="1" builtinId="5"/>
    <cellStyle name="Saída" xfId="5" builtinId="21"/>
    <cellStyle name="Vírgula" xfId="8" builtinId="3"/>
  </cellStyles>
  <dxfs count="38">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2" formatCode="0.00"/>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2" formatCode="0.00"/>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2" formatCode="0.00"/>
      <fill>
        <patternFill patternType="none">
          <fgColor indexed="64"/>
          <bgColor indexed="65"/>
        </patternFill>
      </fill>
    </dxf>
    <dxf>
      <numFmt numFmtId="2" formatCode="0.00"/>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strike val="0"/>
        <condense val="0"/>
        <extend val="0"/>
        <outline val="0"/>
        <shadow val="0"/>
        <u val="none"/>
        <vertAlign val="baseline"/>
        <sz val="11"/>
        <color theme="1"/>
        <name val="Calibri"/>
        <scheme val="minor"/>
      </font>
      <fill>
        <patternFill patternType="none">
          <fgColor indexed="64"/>
          <bgColor indexed="65"/>
        </patternFill>
      </fill>
    </dxf>
    <dxf>
      <fill>
        <patternFill patternType="none">
          <fgColor indexed="64"/>
          <bgColor indexed="65"/>
        </patternFill>
      </fill>
    </dxf>
    <dxf>
      <font>
        <b val="0"/>
        <i/>
        <strike val="0"/>
        <condense val="0"/>
        <extend val="0"/>
        <outline val="0"/>
        <shadow val="0"/>
        <u val="none"/>
        <vertAlign val="baseline"/>
        <sz val="11"/>
        <color theme="1"/>
        <name val="Calibri"/>
        <scheme val="minor"/>
      </font>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dxf>
    <dxf>
      <font>
        <color theme="2" tint="-0.499984740745262"/>
      </font>
      <fill>
        <patternFill>
          <bgColor theme="7" tint="0.59996337778862885"/>
        </patternFill>
      </fill>
    </dxf>
    <dxf>
      <font>
        <b val="0"/>
        <i val="0"/>
        <color theme="2" tint="-0.749961851863155"/>
      </font>
      <fill>
        <patternFill>
          <bgColor theme="5" tint="0.59996337778862885"/>
        </patternFill>
      </fill>
    </dxf>
    <dxf>
      <font>
        <b/>
        <i val="0"/>
        <color theme="2" tint="-0.749961851863155"/>
      </font>
      <fill>
        <patternFill>
          <bgColor theme="9" tint="0.59996337778862885"/>
        </patternFill>
      </fill>
    </dxf>
    <dxf>
      <font>
        <b/>
        <i val="0"/>
        <color theme="0"/>
      </font>
      <fill>
        <patternFill>
          <bgColor theme="8" tint="-0.24994659260841701"/>
        </patternFill>
      </fill>
    </dxf>
    <dxf>
      <font>
        <b/>
        <i val="0"/>
        <u val="none"/>
        <color rgb="FFFF0000"/>
      </font>
      <fill>
        <patternFill>
          <bgColor theme="0" tint="-4.9989318521683403E-2"/>
        </patternFill>
      </fill>
    </dxf>
    <dxf>
      <font>
        <b/>
        <i val="0"/>
        <color rgb="FFFF0000"/>
      </font>
      <fill>
        <patternFill>
          <bgColor theme="0"/>
        </patternFill>
      </fill>
    </dxf>
    <dxf>
      <font>
        <b/>
        <i val="0"/>
        <color theme="9" tint="-0.24994659260841701"/>
      </font>
    </dxf>
  </dxfs>
  <tableStyles count="0" defaultTableStyle="TableStyleMedium2" defaultPivotStyle="PivotStyleLight16"/>
  <colors>
    <mruColors>
      <color rgb="FF2F15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38101</xdr:colOff>
      <xdr:row>0</xdr:row>
      <xdr:rowOff>0</xdr:rowOff>
    </xdr:from>
    <xdr:to>
      <xdr:col>4</xdr:col>
      <xdr:colOff>221193</xdr:colOff>
      <xdr:row>1</xdr:row>
      <xdr:rowOff>127187</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951" y="0"/>
          <a:ext cx="1624542" cy="12193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xdr:colOff>
      <xdr:row>0</xdr:row>
      <xdr:rowOff>0</xdr:rowOff>
    </xdr:from>
    <xdr:to>
      <xdr:col>2</xdr:col>
      <xdr:colOff>1624543</xdr:colOff>
      <xdr:row>1</xdr:row>
      <xdr:rowOff>70037</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1" y="0"/>
          <a:ext cx="1624542" cy="114953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2</xdr:col>
      <xdr:colOff>1389593</xdr:colOff>
      <xdr:row>1</xdr:row>
      <xdr:rowOff>114487</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1" y="0"/>
          <a:ext cx="1624542" cy="114953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2</xdr:col>
      <xdr:colOff>1389593</xdr:colOff>
      <xdr:row>1</xdr:row>
      <xdr:rowOff>19237</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201" y="0"/>
          <a:ext cx="1624542" cy="121938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2</xdr:col>
      <xdr:colOff>1389593</xdr:colOff>
      <xdr:row>1</xdr:row>
      <xdr:rowOff>50987</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0"/>
          <a:ext cx="1624542" cy="128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38101</xdr:colOff>
      <xdr:row>0</xdr:row>
      <xdr:rowOff>0</xdr:rowOff>
    </xdr:from>
    <xdr:to>
      <xdr:col>2</xdr:col>
      <xdr:colOff>1478493</xdr:colOff>
      <xdr:row>1</xdr:row>
      <xdr:rowOff>127187</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1" y="0"/>
          <a:ext cx="1624542" cy="12151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38101</xdr:colOff>
      <xdr:row>0</xdr:row>
      <xdr:rowOff>0</xdr:rowOff>
    </xdr:from>
    <xdr:to>
      <xdr:col>3</xdr:col>
      <xdr:colOff>278343</xdr:colOff>
      <xdr:row>1</xdr:row>
      <xdr:rowOff>84853</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051" y="0"/>
          <a:ext cx="1624542" cy="1149537"/>
        </a:xfrm>
        <a:prstGeom prst="rect">
          <a:avLst/>
        </a:prstGeom>
      </xdr:spPr>
    </xdr:pic>
    <xdr:clientData/>
  </xdr:twoCellAnchor>
  <xdr:twoCellAnchor>
    <xdr:from>
      <xdr:col>6</xdr:col>
      <xdr:colOff>111125</xdr:colOff>
      <xdr:row>27</xdr:row>
      <xdr:rowOff>269876</xdr:rowOff>
    </xdr:from>
    <xdr:to>
      <xdr:col>6</xdr:col>
      <xdr:colOff>1595438</xdr:colOff>
      <xdr:row>28</xdr:row>
      <xdr:rowOff>158751</xdr:rowOff>
    </xdr:to>
    <xdr:pic>
      <xdr:nvPicPr>
        <xdr:cNvPr id="3" name="Imagem 2"/>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663240" y="14728338"/>
          <a:ext cx="1484313" cy="389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55562</xdr:colOff>
      <xdr:row>36</xdr:row>
      <xdr:rowOff>841376</xdr:rowOff>
    </xdr:from>
    <xdr:to>
      <xdr:col>6</xdr:col>
      <xdr:colOff>1682750</xdr:colOff>
      <xdr:row>37</xdr:row>
      <xdr:rowOff>48846</xdr:rowOff>
    </xdr:to>
    <xdr:pic>
      <xdr:nvPicPr>
        <xdr:cNvPr id="10" name="Imagem 9"/>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607677" y="19805895"/>
          <a:ext cx="1627188" cy="440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70556</xdr:colOff>
      <xdr:row>39</xdr:row>
      <xdr:rowOff>663221</xdr:rowOff>
    </xdr:from>
    <xdr:to>
      <xdr:col>6</xdr:col>
      <xdr:colOff>1594556</xdr:colOff>
      <xdr:row>40</xdr:row>
      <xdr:rowOff>48846</xdr:rowOff>
    </xdr:to>
    <xdr:pic>
      <xdr:nvPicPr>
        <xdr:cNvPr id="11" name="Imagem 10"/>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622671" y="22631779"/>
          <a:ext cx="1524000" cy="606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238125</xdr:colOff>
      <xdr:row>41</xdr:row>
      <xdr:rowOff>412749</xdr:rowOff>
    </xdr:from>
    <xdr:to>
      <xdr:col>6</xdr:col>
      <xdr:colOff>1457325</xdr:colOff>
      <xdr:row>41</xdr:row>
      <xdr:rowOff>781539</xdr:rowOff>
    </xdr:to>
    <xdr:pic>
      <xdr:nvPicPr>
        <xdr:cNvPr id="7" name="Imagem 6"/>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790240" y="24823614"/>
          <a:ext cx="1219200" cy="368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15874</xdr:colOff>
      <xdr:row>24</xdr:row>
      <xdr:rowOff>412749</xdr:rowOff>
    </xdr:from>
    <xdr:to>
      <xdr:col>7</xdr:col>
      <xdr:colOff>-1</xdr:colOff>
      <xdr:row>25</xdr:row>
      <xdr:rowOff>48846</xdr:rowOff>
    </xdr:to>
    <xdr:pic>
      <xdr:nvPicPr>
        <xdr:cNvPr id="8" name="Imagem 7"/>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567989" y="12196884"/>
          <a:ext cx="1693741" cy="527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190499</xdr:colOff>
      <xdr:row>21</xdr:row>
      <xdr:rowOff>166688</xdr:rowOff>
    </xdr:from>
    <xdr:to>
      <xdr:col>6</xdr:col>
      <xdr:colOff>1433512</xdr:colOff>
      <xdr:row>21</xdr:row>
      <xdr:rowOff>586154</xdr:rowOff>
    </xdr:to>
    <xdr:pic>
      <xdr:nvPicPr>
        <xdr:cNvPr id="9" name="Imagem 8"/>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742614" y="9789380"/>
          <a:ext cx="1243013" cy="419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207595</xdr:colOff>
      <xdr:row>50</xdr:row>
      <xdr:rowOff>818173</xdr:rowOff>
    </xdr:from>
    <xdr:to>
      <xdr:col>6</xdr:col>
      <xdr:colOff>1948136</xdr:colOff>
      <xdr:row>51</xdr:row>
      <xdr:rowOff>31750</xdr:rowOff>
    </xdr:to>
    <xdr:pic>
      <xdr:nvPicPr>
        <xdr:cNvPr id="13" name="Imagem 12"/>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80595" y="35838423"/>
          <a:ext cx="1740541" cy="610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195388</xdr:colOff>
      <xdr:row>54</xdr:row>
      <xdr:rowOff>85479</xdr:rowOff>
    </xdr:from>
    <xdr:to>
      <xdr:col>6</xdr:col>
      <xdr:colOff>1941636</xdr:colOff>
      <xdr:row>54</xdr:row>
      <xdr:rowOff>451827</xdr:rowOff>
    </xdr:to>
    <xdr:pic>
      <xdr:nvPicPr>
        <xdr:cNvPr id="12" name="Imagem 11"/>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747503" y="39760767"/>
          <a:ext cx="1746248" cy="366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12212</xdr:colOff>
      <xdr:row>54</xdr:row>
      <xdr:rowOff>1001345</xdr:rowOff>
    </xdr:from>
    <xdr:to>
      <xdr:col>7</xdr:col>
      <xdr:colOff>3199424</xdr:colOff>
      <xdr:row>54</xdr:row>
      <xdr:rowOff>1355481</xdr:rowOff>
    </xdr:to>
    <xdr:pic>
      <xdr:nvPicPr>
        <xdr:cNvPr id="14" name="Imagem 13"/>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701347" y="40676633"/>
          <a:ext cx="3187212" cy="354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195385</xdr:colOff>
      <xdr:row>58</xdr:row>
      <xdr:rowOff>488461</xdr:rowOff>
    </xdr:from>
    <xdr:to>
      <xdr:col>7</xdr:col>
      <xdr:colOff>4335585</xdr:colOff>
      <xdr:row>58</xdr:row>
      <xdr:rowOff>837711</xdr:rowOff>
    </xdr:to>
    <xdr:pic>
      <xdr:nvPicPr>
        <xdr:cNvPr id="16" name="Imagem 15"/>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934712" y="46623653"/>
          <a:ext cx="4140200" cy="34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38101</xdr:colOff>
      <xdr:row>0</xdr:row>
      <xdr:rowOff>0</xdr:rowOff>
    </xdr:from>
    <xdr:to>
      <xdr:col>3</xdr:col>
      <xdr:colOff>760943</xdr:colOff>
      <xdr:row>1</xdr:row>
      <xdr:rowOff>57337</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051" y="0"/>
          <a:ext cx="1624542" cy="11495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xdr:colOff>
      <xdr:row>0</xdr:row>
      <xdr:rowOff>0</xdr:rowOff>
    </xdr:from>
    <xdr:to>
      <xdr:col>2</xdr:col>
      <xdr:colOff>1624543</xdr:colOff>
      <xdr:row>1</xdr:row>
      <xdr:rowOff>187</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1" y="0"/>
          <a:ext cx="1624542" cy="11484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xdr:colOff>
      <xdr:row>0</xdr:row>
      <xdr:rowOff>0</xdr:rowOff>
    </xdr:from>
    <xdr:to>
      <xdr:col>2</xdr:col>
      <xdr:colOff>1624543</xdr:colOff>
      <xdr:row>1</xdr:row>
      <xdr:rowOff>82737</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1" y="0"/>
          <a:ext cx="1624542" cy="11495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xdr:colOff>
      <xdr:row>0</xdr:row>
      <xdr:rowOff>0</xdr:rowOff>
    </xdr:from>
    <xdr:to>
      <xdr:col>3</xdr:col>
      <xdr:colOff>77452</xdr:colOff>
      <xdr:row>1</xdr:row>
      <xdr:rowOff>108714</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1" y="0"/>
          <a:ext cx="1623863" cy="11471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xdr:colOff>
      <xdr:row>0</xdr:row>
      <xdr:rowOff>0</xdr:rowOff>
    </xdr:from>
    <xdr:to>
      <xdr:col>2</xdr:col>
      <xdr:colOff>1626852</xdr:colOff>
      <xdr:row>1</xdr:row>
      <xdr:rowOff>124301</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1" y="0"/>
          <a:ext cx="1626851" cy="1150114"/>
        </a:xfrm>
        <a:prstGeom prst="rect">
          <a:avLst/>
        </a:prstGeom>
      </xdr:spPr>
    </xdr:pic>
    <xdr:clientData/>
  </xdr:twoCellAnchor>
  <xdr:twoCellAnchor editAs="oneCell">
    <xdr:from>
      <xdr:col>2</xdr:col>
      <xdr:colOff>1</xdr:colOff>
      <xdr:row>0</xdr:row>
      <xdr:rowOff>0</xdr:rowOff>
    </xdr:from>
    <xdr:to>
      <xdr:col>2</xdr:col>
      <xdr:colOff>1626852</xdr:colOff>
      <xdr:row>1</xdr:row>
      <xdr:rowOff>121414</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1" y="0"/>
          <a:ext cx="1626851" cy="115011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xdr:colOff>
      <xdr:row>0</xdr:row>
      <xdr:rowOff>0</xdr:rowOff>
    </xdr:from>
    <xdr:to>
      <xdr:col>2</xdr:col>
      <xdr:colOff>1624543</xdr:colOff>
      <xdr:row>1</xdr:row>
      <xdr:rowOff>89087</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1" y="0"/>
          <a:ext cx="1624542" cy="11495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nuelsemedo/Documents/DMGA/Indice%20Ambiental/LEED/LEED-v4-Homes-and-Multifamily-Workbook-v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corecard (Midrise)"/>
      <sheetName val="Scorecard (Homes)"/>
      <sheetName val="Batch - Single Family"/>
      <sheetName val="Batch - Multifamily"/>
      <sheetName val="Multifamily HSA"/>
      <sheetName val="IP"/>
      <sheetName val="LT"/>
      <sheetName val="SS"/>
      <sheetName val="WE"/>
      <sheetName val="EA"/>
      <sheetName val="EA Lowrise"/>
      <sheetName val="EA Midrise"/>
      <sheetName val="MR"/>
      <sheetName val="EQ"/>
      <sheetName val="IN"/>
      <sheetName val="RP"/>
      <sheetName val="Water Reduction Calculator"/>
      <sheetName val="Sampling Reporting Form"/>
      <sheetName val="MRc Construction Waste Mgmt"/>
      <sheetName val="Blank"/>
      <sheetName val="Scorecard Data"/>
      <sheetName val="LEED-v4-Homes-and-Multifamily-W"/>
    </sheetNames>
    <sheetDataSet>
      <sheetData sheetId="0">
        <row r="12">
          <cell r="F12">
            <v>0</v>
          </cell>
        </row>
        <row r="120">
          <cell r="I120" t="str">
            <v>At least 25% reclaimed</v>
          </cell>
        </row>
        <row r="121">
          <cell r="I121" t="str">
            <v>At least 25% postconsumer or 50% preconsumer recycled content</v>
          </cell>
        </row>
        <row r="122">
          <cell r="I122" t="str">
            <v>FSC Certified wood</v>
          </cell>
        </row>
        <row r="123">
          <cell r="I123" t="str">
            <v>Sustainable Agriculture Standard</v>
          </cell>
        </row>
        <row r="124">
          <cell r="I124" t="str">
            <v>Concrete with at least 30% fly ash/slag and 50% recycled content aggregate OR 90% recycled content aggregate</v>
          </cell>
        </row>
        <row r="125">
          <cell r="I125" t="str">
            <v>Extended producer responsibility</v>
          </cell>
        </row>
        <row r="127">
          <cell r="I127" t="str">
            <v>For synthetic, 95% recycled content (pre-, post-, or combination)</v>
          </cell>
          <cell r="L127">
            <v>0</v>
          </cell>
          <cell r="M127">
            <v>0</v>
          </cell>
        </row>
        <row r="128">
          <cell r="I128" t="str">
            <v>For non-synthetic, 10% post-consumer recycled content</v>
          </cell>
          <cell r="L128">
            <v>0.5</v>
          </cell>
          <cell r="M128">
            <v>0.5</v>
          </cell>
        </row>
        <row r="129">
          <cell r="L129">
            <v>1</v>
          </cell>
          <cell r="M129">
            <v>1</v>
          </cell>
        </row>
        <row r="130">
          <cell r="L130">
            <v>1.5</v>
          </cell>
          <cell r="M130">
            <v>1.5</v>
          </cell>
        </row>
        <row r="131">
          <cell r="L131">
            <v>2</v>
          </cell>
          <cell r="M131">
            <v>2</v>
          </cell>
        </row>
        <row r="132">
          <cell r="L132">
            <v>2.5</v>
          </cell>
          <cell r="M132">
            <v>2.5</v>
          </cell>
        </row>
        <row r="133">
          <cell r="L133">
            <v>3</v>
          </cell>
          <cell r="M133">
            <v>3</v>
          </cell>
        </row>
        <row r="134">
          <cell r="L134">
            <v>3.5</v>
          </cell>
          <cell r="M134">
            <v>3.5</v>
          </cell>
        </row>
        <row r="135">
          <cell r="L135">
            <v>4</v>
          </cell>
          <cell r="M135">
            <v>4</v>
          </cell>
        </row>
        <row r="136">
          <cell r="M136">
            <v>4.5</v>
          </cell>
        </row>
        <row r="137">
          <cell r="M137">
            <v>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1">
          <cell r="W21" t="str">
            <v>All units</v>
          </cell>
        </row>
        <row r="22">
          <cell r="W22" t="str">
            <v>Efficiency</v>
          </cell>
        </row>
        <row r="23">
          <cell r="W23" t="str">
            <v>1 Bedroom</v>
          </cell>
        </row>
        <row r="24">
          <cell r="W24" t="str">
            <v>2 Bedrooms</v>
          </cell>
        </row>
        <row r="25">
          <cell r="W25" t="str">
            <v>3 Bedrooms</v>
          </cell>
        </row>
        <row r="26">
          <cell r="W26" t="str">
            <v>4 Bedrooms</v>
          </cell>
        </row>
        <row r="27">
          <cell r="W27" t="str">
            <v>5 Bedrooms</v>
          </cell>
        </row>
        <row r="28">
          <cell r="W28" t="str">
            <v>6 Bedrooms</v>
          </cell>
        </row>
      </sheetData>
      <sheetData sheetId="18"/>
      <sheetData sheetId="19"/>
      <sheetData sheetId="20"/>
      <sheetData sheetId="21"/>
      <sheetData sheetId="22" refreshError="1"/>
    </sheetDataSet>
  </externalBook>
</externalLink>
</file>

<file path=xl/tables/table1.xml><?xml version="1.0" encoding="utf-8"?>
<table xmlns="http://schemas.openxmlformats.org/spreadsheetml/2006/main" id="1" name="Tabela13" displayName="Tabela13" ref="A1:AC210" totalsRowShown="0" headerRowDxfId="30" dataDxfId="29">
  <autoFilter ref="A1:AC210"/>
  <tableColumns count="29">
    <tableColumn id="1" name="Nome científico" dataDxfId="28"/>
    <tableColumn id="2" name="Nome comum" dataDxfId="27"/>
    <tableColumn id="3" name="Género" dataDxfId="26"/>
    <tableColumn id="4" name="Família" dataDxfId="25"/>
    <tableColumn id="5" name="Origem (Autóctone/Alóctone)" dataDxfId="24"/>
    <tableColumn id="6" name="Estatuto de Invasora" dataDxfId="23"/>
    <tableColumn id="7" name="Sazonalidade (Caduca/Persistente)" dataDxfId="22"/>
    <tableColumn id="8" name="Crescimento (Rápido, Médio e Lento)" dataDxfId="21"/>
    <tableColumn id="9" name="Porte (Pequeno, Médio e Grande)" dataDxfId="20"/>
    <tableColumn id="10" name="Forma da copa" dataDxfId="19"/>
    <tableColumn id="11" name="Largura de copa (metros)" dataDxfId="18"/>
    <tableColumn id="23" name="Coluna2" dataDxfId="17">
      <calculatedColumnFormula>LEN(Tabela13[[#This Row],[Largura de copa (metros)]])</calculatedColumnFormula>
    </tableColumn>
    <tableColumn id="24" name="Coluna3" dataDxfId="16">
      <calculatedColumnFormula>LEFT(Tabela13[[#This Row],[Largura de copa (metros)]],LEN(Tabela13[[#This Row],[Largura de copa (metros)]])-1)</calculatedColumnFormula>
    </tableColumn>
    <tableColumn id="22" name="Coluna1" dataDxfId="15" dataCellStyle="Vírgula"/>
    <tableColumn id="27" name="Coluna12" dataDxfId="14" dataCellStyle="Vírgula">
      <calculatedColumnFormula>"="&amp;Tabela13[[#This Row],[Coluna1]]</calculatedColumnFormula>
    </tableColumn>
    <tableColumn id="28" name="Coluna 23" dataDxfId="13" dataCellStyle="Vírgula"/>
    <tableColumn id="29" name="Largura média de copa (metros)" dataDxfId="12" dataCellStyle="Vírgula">
      <calculatedColumnFormula>Tabela13[[#This Row],[Coluna 23]]/2</calculatedColumnFormula>
    </tableColumn>
    <tableColumn id="12" name="Altura média (metros)" dataDxfId="11"/>
    <tableColumn id="13" name="Largura de copa potencial em caldeira (-20% da largura de copa)" dataDxfId="10"/>
    <tableColumn id="25" name="Classes de largura potencial em caldeira (até 4m; 4 a 6m; 6 a 8m; mais de 8m)" dataDxfId="9"/>
    <tableColumn id="26" name="Classes de Altura (até 5m; entre 5 e 10m; entre 10 e 12m; mais de 12m)" dataDxfId="8"/>
    <tableColumn id="19" name="Sistema radicular" dataDxfId="7"/>
    <tableColumn id="14" name="Resiliência em ambiente urbano (baixa e alta)" dataDxfId="6"/>
    <tableColumn id="15" name="Proximidade ao mar (1ªLinha, 2ªLinha e não tolera salinidade)" dataDxfId="5"/>
    <tableColumn id="16" name="Tolerância ao vento (baixa, média, alta)" dataDxfId="4"/>
    <tableColumn id="20" name="Exposição solar" dataDxfId="3"/>
    <tableColumn id="21" name="Poda e topiária" dataDxfId="2"/>
    <tableColumn id="17" name="Tolerância ao pavimento em situação de caldeira (baixa, média e alta)" dataDxfId="1"/>
    <tableColumn id="18" name="Conflitos potenciais com o espaço público (fruto carnudo ou de polpa, sistema radicular, etc)"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hyperlink" Target="https://diariodarepublica.pt/dr/detalhe/portaria/255-2023-216770690"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op.europa.eu/en/publication-detail/-/publication/d63d5a8f-64e8-11ef-a8ba-01aa75ed71a1/language-en" TargetMode="External"/><Relationship Id="rId7" Type="http://schemas.openxmlformats.org/officeDocument/2006/relationships/hyperlink" Target="https://www.lowcarbonbuilding.com/methodology/" TargetMode="External"/><Relationship Id="rId2" Type="http://schemas.openxmlformats.org/officeDocument/2006/relationships/hyperlink" Target="http://eur-lex.europa.eu/legal-content/PT/TXT/?uri=CELEX:32000D0532" TargetMode="External"/><Relationship Id="rId1" Type="http://schemas.openxmlformats.org/officeDocument/2006/relationships/hyperlink" Target="https://ambiente.cm-porto.pt/files/uploads/cms/2.1.)%20PLANO%20ARBORIZA%C3%87%C3%83O_Relat%C3%B3rio%20fase%202_(Proposta%20de%20Plano).pdf" TargetMode="External"/><Relationship Id="rId6" Type="http://schemas.openxmlformats.org/officeDocument/2006/relationships/hyperlink" Target="https://www.lowcarbonbuilding.com/methodology/" TargetMode="External"/><Relationship Id="rId5" Type="http://schemas.openxmlformats.org/officeDocument/2006/relationships/hyperlink" Target="https://eur-lex.europa.eu/legal-content/PT/ALL/?uri=CELEX:32023R2486" TargetMode="External"/><Relationship Id="rId4" Type="http://schemas.openxmlformats.org/officeDocument/2006/relationships/hyperlink" Target="https://eur-lex.europa.eu/legal-content/PT/ALL/?uri=CELEX:32023R2486" TargetMode="External"/><Relationship Id="rId9"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aquamais.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dimension ref="A1:S39"/>
  <sheetViews>
    <sheetView topLeftCell="A16" workbookViewId="0">
      <selection activeCell="B2" sqref="B2:E20"/>
    </sheetView>
  </sheetViews>
  <sheetFormatPr defaultRowHeight="14.5"/>
  <cols>
    <col min="1" max="1" width="12.6328125" customWidth="1"/>
    <col min="2" max="2" width="35.1796875" style="13" customWidth="1"/>
    <col min="3" max="3" width="20.453125" style="13" customWidth="1"/>
    <col min="4" max="4" width="173.6328125" style="13" customWidth="1"/>
  </cols>
  <sheetData>
    <row r="1" spans="1:19">
      <c r="B1" s="98" t="s">
        <v>26</v>
      </c>
      <c r="C1" s="98" t="s">
        <v>25</v>
      </c>
      <c r="D1" s="98" t="s">
        <v>24</v>
      </c>
      <c r="E1" t="s">
        <v>2</v>
      </c>
    </row>
    <row r="2" spans="1:19">
      <c r="A2" s="505" t="s">
        <v>144</v>
      </c>
      <c r="B2" s="10" t="s">
        <v>8</v>
      </c>
      <c r="C2" s="10" t="s">
        <v>17</v>
      </c>
      <c r="D2" s="10" t="s">
        <v>172</v>
      </c>
      <c r="E2" t="s">
        <v>46</v>
      </c>
    </row>
    <row r="3" spans="1:19" ht="246.5">
      <c r="A3" s="505"/>
      <c r="B3" s="10" t="s">
        <v>169</v>
      </c>
      <c r="C3" s="10" t="s">
        <v>170</v>
      </c>
      <c r="D3" s="10" t="s">
        <v>171</v>
      </c>
    </row>
    <row r="4" spans="1:19" ht="101.5">
      <c r="A4" s="505"/>
      <c r="B4" s="10"/>
      <c r="C4" s="10" t="s">
        <v>173</v>
      </c>
      <c r="D4" s="10" t="s">
        <v>174</v>
      </c>
    </row>
    <row r="5" spans="1:19" ht="29">
      <c r="A5" s="505"/>
      <c r="B5" s="10" t="s">
        <v>176</v>
      </c>
      <c r="C5" s="10" t="s">
        <v>175</v>
      </c>
      <c r="D5" s="10" t="s">
        <v>177</v>
      </c>
    </row>
    <row r="6" spans="1:19">
      <c r="A6" s="505"/>
      <c r="B6" s="10" t="s">
        <v>122</v>
      </c>
      <c r="C6" s="10" t="s">
        <v>127</v>
      </c>
      <c r="D6" s="10" t="s">
        <v>129</v>
      </c>
    </row>
    <row r="7" spans="1:19">
      <c r="A7" s="505"/>
      <c r="B7" s="10" t="s">
        <v>122</v>
      </c>
      <c r="C7" s="10" t="s">
        <v>126</v>
      </c>
      <c r="D7" s="10" t="s">
        <v>128</v>
      </c>
    </row>
    <row r="8" spans="1:19">
      <c r="A8" s="505"/>
      <c r="B8" s="10" t="s">
        <v>122</v>
      </c>
      <c r="C8" s="10" t="s">
        <v>133</v>
      </c>
      <c r="D8" s="10" t="s">
        <v>134</v>
      </c>
    </row>
    <row r="9" spans="1:19" ht="43.5">
      <c r="A9" s="505"/>
      <c r="B9" s="10" t="s">
        <v>125</v>
      </c>
      <c r="C9" s="10" t="s">
        <v>123</v>
      </c>
      <c r="D9" s="10" t="s">
        <v>124</v>
      </c>
      <c r="F9" s="12"/>
      <c r="G9" s="12"/>
      <c r="H9" s="12"/>
      <c r="I9" s="12"/>
      <c r="J9" s="12"/>
      <c r="K9" s="12"/>
      <c r="L9" s="12"/>
      <c r="M9" s="12"/>
      <c r="N9" s="12"/>
      <c r="O9" s="12"/>
      <c r="P9" s="12"/>
      <c r="Q9" s="12"/>
      <c r="R9" s="12"/>
      <c r="S9" s="12"/>
    </row>
    <row r="10" spans="1:19" ht="29">
      <c r="A10" s="505"/>
      <c r="B10" s="10" t="s">
        <v>122</v>
      </c>
      <c r="C10" s="10" t="s">
        <v>131</v>
      </c>
      <c r="D10" s="10" t="s">
        <v>132</v>
      </c>
      <c r="F10" s="12"/>
      <c r="G10" s="12"/>
      <c r="H10" s="12"/>
      <c r="I10" s="12"/>
      <c r="J10" s="12"/>
      <c r="K10" s="12"/>
      <c r="L10" s="12"/>
      <c r="M10" s="12"/>
      <c r="N10" s="12"/>
      <c r="O10" s="12"/>
      <c r="P10" s="12"/>
      <c r="Q10" s="12"/>
      <c r="R10" s="12"/>
      <c r="S10" s="12"/>
    </row>
    <row r="11" spans="1:19" ht="29">
      <c r="A11" s="505"/>
      <c r="B11" s="10" t="s">
        <v>122</v>
      </c>
      <c r="C11" s="10" t="s">
        <v>135</v>
      </c>
      <c r="D11" s="10" t="s">
        <v>145</v>
      </c>
      <c r="F11" s="12"/>
      <c r="G11" s="12"/>
      <c r="H11" s="12"/>
      <c r="I11" s="12"/>
      <c r="J11" s="12"/>
      <c r="K11" s="12"/>
      <c r="L11" s="12"/>
      <c r="M11" s="12"/>
      <c r="N11" s="12"/>
      <c r="O11" s="12"/>
      <c r="P11" s="12"/>
      <c r="Q11" s="12"/>
      <c r="R11" s="12"/>
      <c r="S11" s="12"/>
    </row>
    <row r="12" spans="1:19" ht="58">
      <c r="A12" s="505"/>
      <c r="B12" s="10" t="s">
        <v>122</v>
      </c>
      <c r="C12" s="10" t="s">
        <v>141</v>
      </c>
      <c r="D12" s="10" t="s">
        <v>142</v>
      </c>
      <c r="F12" s="12"/>
      <c r="G12" s="12"/>
      <c r="H12" s="12"/>
      <c r="I12" s="12"/>
      <c r="J12" s="12"/>
      <c r="K12" s="12"/>
      <c r="L12" s="12"/>
      <c r="M12" s="12"/>
      <c r="N12" s="12"/>
      <c r="O12" s="12"/>
      <c r="P12" s="12"/>
      <c r="Q12" s="12"/>
      <c r="R12" s="12"/>
      <c r="S12" s="12"/>
    </row>
    <row r="13" spans="1:19">
      <c r="F13" s="12"/>
      <c r="G13" s="12"/>
      <c r="H13" s="12"/>
      <c r="I13" s="12"/>
      <c r="J13" s="12"/>
      <c r="K13" s="12"/>
      <c r="L13" s="12"/>
      <c r="M13" s="12"/>
      <c r="N13" s="12"/>
      <c r="O13" s="12"/>
      <c r="P13" s="12"/>
      <c r="Q13" s="12"/>
      <c r="R13" s="12"/>
      <c r="S13" s="12"/>
    </row>
    <row r="14" spans="1:19" ht="29">
      <c r="A14" t="s">
        <v>146</v>
      </c>
      <c r="B14" s="13" t="s">
        <v>158</v>
      </c>
      <c r="C14" s="13" t="s">
        <v>147</v>
      </c>
      <c r="D14" s="13" t="s">
        <v>148</v>
      </c>
      <c r="F14" s="12"/>
      <c r="G14" s="12"/>
      <c r="H14" s="12"/>
      <c r="I14" s="12"/>
      <c r="J14" s="12"/>
      <c r="K14" s="12"/>
      <c r="L14" s="12"/>
      <c r="M14" s="12"/>
      <c r="N14" s="12"/>
      <c r="O14" s="12"/>
      <c r="P14" s="12"/>
      <c r="Q14" s="12"/>
      <c r="R14" s="12"/>
      <c r="S14" s="12"/>
    </row>
    <row r="15" spans="1:19" ht="29">
      <c r="B15" s="13" t="s">
        <v>158</v>
      </c>
      <c r="C15" s="13" t="s">
        <v>149</v>
      </c>
      <c r="D15" s="13" t="s">
        <v>150</v>
      </c>
      <c r="F15" s="12"/>
      <c r="G15" s="12"/>
      <c r="H15" s="12"/>
      <c r="I15" s="12"/>
      <c r="J15" s="12"/>
      <c r="K15" s="12"/>
      <c r="L15" s="12"/>
      <c r="M15" s="12"/>
      <c r="N15" s="12"/>
      <c r="O15" s="12"/>
      <c r="P15" s="12"/>
      <c r="Q15" s="12"/>
      <c r="R15" s="12"/>
      <c r="S15" s="12"/>
    </row>
    <row r="16" spans="1:19" ht="29">
      <c r="B16" s="13" t="s">
        <v>158</v>
      </c>
      <c r="C16" s="13" t="s">
        <v>151</v>
      </c>
      <c r="D16" s="13" t="s">
        <v>154</v>
      </c>
      <c r="F16" s="12"/>
      <c r="G16" s="12"/>
      <c r="H16" s="12"/>
      <c r="I16" s="12"/>
      <c r="J16" s="12"/>
      <c r="K16" s="12"/>
      <c r="L16" s="12"/>
      <c r="M16" s="12"/>
      <c r="N16" s="12"/>
      <c r="O16" s="12"/>
      <c r="P16" s="12"/>
      <c r="Q16" s="12"/>
      <c r="R16" s="12"/>
      <c r="S16" s="12"/>
    </row>
    <row r="17" spans="2:19" ht="29">
      <c r="B17" s="13" t="s">
        <v>158</v>
      </c>
      <c r="C17" s="13" t="s">
        <v>152</v>
      </c>
      <c r="D17" s="13" t="s">
        <v>153</v>
      </c>
      <c r="F17" s="12"/>
      <c r="G17" s="12"/>
      <c r="H17" s="12"/>
      <c r="I17" s="12"/>
      <c r="J17" s="12"/>
      <c r="K17" s="12"/>
      <c r="L17" s="12"/>
      <c r="M17" s="12"/>
      <c r="N17" s="12"/>
      <c r="O17" s="12"/>
      <c r="P17" s="12"/>
      <c r="Q17" s="12"/>
      <c r="R17" s="12"/>
      <c r="S17" s="12"/>
    </row>
    <row r="18" spans="2:19" ht="29">
      <c r="B18" s="13" t="s">
        <v>157</v>
      </c>
      <c r="C18" s="13" t="s">
        <v>155</v>
      </c>
      <c r="D18" s="13" t="s">
        <v>156</v>
      </c>
      <c r="F18" s="12"/>
      <c r="G18" s="12"/>
      <c r="H18" s="12"/>
      <c r="I18" s="12"/>
      <c r="J18" s="12"/>
      <c r="K18" s="12"/>
      <c r="L18" s="12"/>
      <c r="M18" s="12"/>
      <c r="N18" s="12"/>
      <c r="O18" s="12"/>
      <c r="P18" s="12"/>
      <c r="Q18" s="12"/>
      <c r="R18" s="12"/>
      <c r="S18" s="12"/>
    </row>
    <row r="19" spans="2:19" ht="29">
      <c r="B19" s="13" t="s">
        <v>122</v>
      </c>
      <c r="C19" s="10" t="s">
        <v>159</v>
      </c>
      <c r="D19" s="13" t="s">
        <v>160</v>
      </c>
      <c r="F19" s="12"/>
      <c r="G19" s="12"/>
      <c r="H19" s="12"/>
      <c r="I19" s="12"/>
      <c r="J19" s="12"/>
      <c r="K19" s="12"/>
      <c r="L19" s="12"/>
      <c r="M19" s="12"/>
      <c r="N19" s="12"/>
      <c r="O19" s="12"/>
      <c r="P19" s="12"/>
      <c r="Q19" s="12"/>
      <c r="R19" s="12"/>
      <c r="S19" s="12"/>
    </row>
    <row r="20" spans="2:19" ht="246.5">
      <c r="B20" s="13" t="s">
        <v>167</v>
      </c>
      <c r="C20" s="13" t="s">
        <v>166</v>
      </c>
      <c r="D20" s="13" t="s">
        <v>168</v>
      </c>
    </row>
    <row r="21" spans="2:19" ht="14.5" customHeight="1">
      <c r="F21" s="504" t="s">
        <v>5</v>
      </c>
      <c r="G21" s="504"/>
      <c r="H21" s="504"/>
      <c r="I21" s="504"/>
      <c r="J21" s="504"/>
      <c r="K21" s="504"/>
      <c r="L21" s="504"/>
      <c r="M21" s="504"/>
      <c r="N21" s="504"/>
      <c r="O21" s="504"/>
      <c r="P21" s="504"/>
      <c r="Q21" s="504"/>
      <c r="R21" s="504"/>
      <c r="S21" s="504"/>
    </row>
    <row r="22" spans="2:19">
      <c r="F22" s="504"/>
      <c r="G22" s="504"/>
      <c r="H22" s="504"/>
      <c r="I22" s="504"/>
      <c r="J22" s="504"/>
      <c r="K22" s="504"/>
      <c r="L22" s="504"/>
      <c r="M22" s="504"/>
      <c r="N22" s="504"/>
      <c r="O22" s="504"/>
      <c r="P22" s="504"/>
      <c r="Q22" s="504"/>
      <c r="R22" s="504"/>
      <c r="S22" s="504"/>
    </row>
    <row r="23" spans="2:19">
      <c r="F23" s="504"/>
      <c r="G23" s="504"/>
      <c r="H23" s="504"/>
      <c r="I23" s="504"/>
      <c r="J23" s="504"/>
      <c r="K23" s="504"/>
      <c r="L23" s="504"/>
      <c r="M23" s="504"/>
      <c r="N23" s="504"/>
      <c r="O23" s="504"/>
      <c r="P23" s="504"/>
      <c r="Q23" s="504"/>
      <c r="R23" s="504"/>
      <c r="S23" s="504"/>
    </row>
    <row r="24" spans="2:19">
      <c r="F24" s="504"/>
      <c r="G24" s="504"/>
      <c r="H24" s="504"/>
      <c r="I24" s="504"/>
      <c r="J24" s="504"/>
      <c r="K24" s="504"/>
      <c r="L24" s="504"/>
      <c r="M24" s="504"/>
      <c r="N24" s="504"/>
      <c r="O24" s="504"/>
      <c r="P24" s="504"/>
      <c r="Q24" s="504"/>
      <c r="R24" s="504"/>
      <c r="S24" s="504"/>
    </row>
    <row r="25" spans="2:19">
      <c r="F25" s="504"/>
      <c r="G25" s="504"/>
      <c r="H25" s="504"/>
      <c r="I25" s="504"/>
      <c r="J25" s="504"/>
      <c r="K25" s="504"/>
      <c r="L25" s="504"/>
      <c r="M25" s="504"/>
      <c r="N25" s="504"/>
      <c r="O25" s="504"/>
      <c r="P25" s="504"/>
      <c r="Q25" s="504"/>
      <c r="R25" s="504"/>
      <c r="S25" s="504"/>
    </row>
    <row r="26" spans="2:19">
      <c r="F26" s="504"/>
      <c r="G26" s="504"/>
      <c r="H26" s="504"/>
      <c r="I26" s="504"/>
      <c r="J26" s="504"/>
      <c r="K26" s="504"/>
      <c r="L26" s="504"/>
      <c r="M26" s="504"/>
      <c r="N26" s="504"/>
      <c r="O26" s="504"/>
      <c r="P26" s="504"/>
      <c r="Q26" s="504"/>
      <c r="R26" s="504"/>
      <c r="S26" s="504"/>
    </row>
    <row r="27" spans="2:19">
      <c r="F27" s="504"/>
      <c r="G27" s="504"/>
      <c r="H27" s="504"/>
      <c r="I27" s="504"/>
      <c r="J27" s="504"/>
      <c r="K27" s="504"/>
      <c r="L27" s="504"/>
      <c r="M27" s="504"/>
      <c r="N27" s="504"/>
      <c r="O27" s="504"/>
      <c r="P27" s="504"/>
      <c r="Q27" s="504"/>
      <c r="R27" s="504"/>
      <c r="S27" s="504"/>
    </row>
    <row r="28" spans="2:19">
      <c r="F28" s="504"/>
      <c r="G28" s="504"/>
      <c r="H28" s="504"/>
      <c r="I28" s="504"/>
      <c r="J28" s="504"/>
      <c r="K28" s="504"/>
      <c r="L28" s="504"/>
      <c r="M28" s="504"/>
      <c r="N28" s="504"/>
      <c r="O28" s="504"/>
      <c r="P28" s="504"/>
      <c r="Q28" s="504"/>
      <c r="R28" s="504"/>
      <c r="S28" s="504"/>
    </row>
    <row r="29" spans="2:19">
      <c r="F29" s="504"/>
      <c r="G29" s="504"/>
      <c r="H29" s="504"/>
      <c r="I29" s="504"/>
      <c r="J29" s="504"/>
      <c r="K29" s="504"/>
      <c r="L29" s="504"/>
      <c r="M29" s="504"/>
      <c r="N29" s="504"/>
      <c r="O29" s="504"/>
      <c r="P29" s="504"/>
      <c r="Q29" s="504"/>
      <c r="R29" s="504"/>
      <c r="S29" s="504"/>
    </row>
    <row r="30" spans="2:19">
      <c r="F30" s="504"/>
      <c r="G30" s="504"/>
      <c r="H30" s="504"/>
      <c r="I30" s="504"/>
      <c r="J30" s="504"/>
      <c r="K30" s="504"/>
      <c r="L30" s="504"/>
      <c r="M30" s="504"/>
      <c r="N30" s="504"/>
      <c r="O30" s="504"/>
      <c r="P30" s="504"/>
      <c r="Q30" s="504"/>
      <c r="R30" s="504"/>
      <c r="S30" s="504"/>
    </row>
    <row r="31" spans="2:19">
      <c r="F31" s="504"/>
      <c r="G31" s="504"/>
      <c r="H31" s="504"/>
      <c r="I31" s="504"/>
      <c r="J31" s="504"/>
      <c r="K31" s="504"/>
      <c r="L31" s="504"/>
      <c r="M31" s="504"/>
      <c r="N31" s="504"/>
      <c r="O31" s="504"/>
      <c r="P31" s="504"/>
      <c r="Q31" s="504"/>
      <c r="R31" s="504"/>
      <c r="S31" s="504"/>
    </row>
    <row r="32" spans="2:19">
      <c r="F32" s="504"/>
      <c r="G32" s="504"/>
      <c r="H32" s="504"/>
      <c r="I32" s="504"/>
      <c r="J32" s="504"/>
      <c r="K32" s="504"/>
      <c r="L32" s="504"/>
      <c r="M32" s="504"/>
      <c r="N32" s="504"/>
      <c r="O32" s="504"/>
      <c r="P32" s="504"/>
      <c r="Q32" s="504"/>
      <c r="R32" s="504"/>
      <c r="S32" s="504"/>
    </row>
    <row r="33" spans="6:19">
      <c r="F33" s="504"/>
      <c r="G33" s="504"/>
      <c r="H33" s="504"/>
      <c r="I33" s="504"/>
      <c r="J33" s="504"/>
      <c r="K33" s="504"/>
      <c r="L33" s="504"/>
      <c r="M33" s="504"/>
      <c r="N33" s="504"/>
      <c r="O33" s="504"/>
      <c r="P33" s="504"/>
      <c r="Q33" s="504"/>
      <c r="R33" s="504"/>
      <c r="S33" s="504"/>
    </row>
    <row r="34" spans="6:19">
      <c r="F34" s="504"/>
      <c r="G34" s="504"/>
      <c r="H34" s="504"/>
      <c r="I34" s="504"/>
      <c r="J34" s="504"/>
      <c r="K34" s="504"/>
      <c r="L34" s="504"/>
      <c r="M34" s="504"/>
      <c r="N34" s="504"/>
      <c r="O34" s="504"/>
      <c r="P34" s="504"/>
      <c r="Q34" s="504"/>
      <c r="R34" s="504"/>
      <c r="S34" s="504"/>
    </row>
    <row r="35" spans="6:19">
      <c r="F35" s="504"/>
      <c r="G35" s="504"/>
      <c r="H35" s="504"/>
      <c r="I35" s="504"/>
      <c r="J35" s="504"/>
      <c r="K35" s="504"/>
      <c r="L35" s="504"/>
      <c r="M35" s="504"/>
      <c r="N35" s="504"/>
      <c r="O35" s="504"/>
      <c r="P35" s="504"/>
      <c r="Q35" s="504"/>
      <c r="R35" s="504"/>
      <c r="S35" s="504"/>
    </row>
    <row r="36" spans="6:19">
      <c r="F36" s="504"/>
      <c r="G36" s="504"/>
      <c r="H36" s="504"/>
      <c r="I36" s="504"/>
      <c r="J36" s="504"/>
      <c r="K36" s="504"/>
      <c r="L36" s="504"/>
      <c r="M36" s="504"/>
      <c r="N36" s="504"/>
      <c r="O36" s="504"/>
      <c r="P36" s="504"/>
      <c r="Q36" s="504"/>
      <c r="R36" s="504"/>
      <c r="S36" s="504"/>
    </row>
    <row r="37" spans="6:19">
      <c r="F37" s="504"/>
      <c r="G37" s="504"/>
      <c r="H37" s="504"/>
      <c r="I37" s="504"/>
      <c r="J37" s="504"/>
      <c r="K37" s="504"/>
      <c r="L37" s="504"/>
      <c r="M37" s="504"/>
      <c r="N37" s="504"/>
      <c r="O37" s="504"/>
      <c r="P37" s="504"/>
      <c r="Q37" s="504"/>
      <c r="R37" s="504"/>
      <c r="S37" s="504"/>
    </row>
    <row r="38" spans="6:19">
      <c r="F38" s="504"/>
      <c r="G38" s="504"/>
      <c r="H38" s="504"/>
      <c r="I38" s="504"/>
      <c r="J38" s="504"/>
      <c r="K38" s="504"/>
      <c r="L38" s="504"/>
      <c r="M38" s="504"/>
      <c r="N38" s="504"/>
      <c r="O38" s="504"/>
      <c r="P38" s="504"/>
      <c r="Q38" s="504"/>
      <c r="R38" s="504"/>
      <c r="S38" s="504"/>
    </row>
    <row r="39" spans="6:19">
      <c r="F39" s="504"/>
      <c r="G39" s="504"/>
      <c r="H39" s="504"/>
      <c r="I39" s="504"/>
      <c r="J39" s="504"/>
      <c r="K39" s="504"/>
      <c r="L39" s="504"/>
      <c r="M39" s="504"/>
      <c r="N39" s="504"/>
      <c r="O39" s="504"/>
      <c r="P39" s="504"/>
      <c r="Q39" s="504"/>
      <c r="R39" s="504"/>
      <c r="S39" s="504"/>
    </row>
  </sheetData>
  <mergeCells count="2">
    <mergeCell ref="F21:S39"/>
    <mergeCell ref="A2:A1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0">
    <pageSetUpPr fitToPage="1"/>
  </sheetPr>
  <dimension ref="B1:BB52"/>
  <sheetViews>
    <sheetView showGridLines="0" topLeftCell="A25" zoomScale="115" zoomScaleNormal="115" workbookViewId="0">
      <selection activeCell="E18" sqref="E18"/>
    </sheetView>
  </sheetViews>
  <sheetFormatPr defaultColWidth="8.81640625" defaultRowHeight="45" customHeight="1"/>
  <cols>
    <col min="1" max="1" width="2.81640625" style="16" customWidth="1"/>
    <col min="2" max="2" width="2.6328125" style="16" customWidth="1"/>
    <col min="3" max="3" width="28.26953125" style="17" customWidth="1"/>
    <col min="4" max="6" width="20.36328125" style="18" customWidth="1"/>
    <col min="7" max="7" width="20.36328125" style="156" customWidth="1"/>
    <col min="8" max="8" width="21.1796875" style="156" customWidth="1"/>
    <col min="9" max="9" width="25.26953125" style="20" customWidth="1"/>
    <col min="10" max="10" width="20.36328125" style="20" customWidth="1"/>
    <col min="11" max="11" width="2.6328125" style="20" customWidth="1"/>
    <col min="12" max="17" width="12.6328125" style="20" customWidth="1"/>
    <col min="18" max="18" width="10" style="20" hidden="1" customWidth="1"/>
    <col min="19" max="19" width="13.6328125" style="21" customWidth="1"/>
    <col min="20" max="20" width="0.81640625" style="22" customWidth="1"/>
    <col min="21" max="21" width="14.54296875" style="23" customWidth="1"/>
    <col min="22" max="22" width="2.6328125" style="22" customWidth="1"/>
    <col min="23" max="23" width="12.6328125" style="22" customWidth="1"/>
    <col min="24" max="24" width="32.54296875" style="22" customWidth="1"/>
    <col min="25" max="25" width="9.6328125" style="24" customWidth="1"/>
    <col min="26" max="27" width="9.6328125" style="16" customWidth="1"/>
    <col min="28" max="28" width="1" style="22" customWidth="1"/>
    <col min="29" max="32" width="10.453125" style="22" customWidth="1"/>
    <col min="33" max="33" width="19" style="16" customWidth="1"/>
    <col min="34" max="34" width="14.453125" style="22" customWidth="1"/>
    <col min="35" max="38" width="19" style="16" customWidth="1"/>
    <col min="39" max="39" width="57.453125" style="16" bestFit="1" customWidth="1"/>
    <col min="40" max="40" width="57.453125" style="16" customWidth="1"/>
    <col min="41" max="41" width="18" style="16" bestFit="1" customWidth="1"/>
    <col min="42" max="42" width="12.81640625" style="16" bestFit="1" customWidth="1"/>
    <col min="43" max="43" width="8.453125" style="16" bestFit="1" customWidth="1"/>
    <col min="44" max="44" width="19" style="16" customWidth="1"/>
    <col min="45" max="45" width="17.81640625" style="16" customWidth="1"/>
    <col min="46" max="46" width="18.453125" style="16" customWidth="1"/>
    <col min="47" max="16384" width="8.81640625" style="16"/>
  </cols>
  <sheetData>
    <row r="1" spans="2:39" ht="83.5" customHeight="1" thickBot="1">
      <c r="B1" s="287"/>
      <c r="C1" s="288"/>
      <c r="D1" s="517" t="s">
        <v>1106</v>
      </c>
      <c r="E1" s="517"/>
      <c r="F1" s="517"/>
      <c r="G1" s="517"/>
      <c r="H1" s="517"/>
      <c r="I1" s="517"/>
      <c r="J1" s="517"/>
      <c r="K1" s="517"/>
      <c r="S1" s="20"/>
      <c r="T1" s="20"/>
      <c r="U1" s="20"/>
    </row>
    <row r="2" spans="2:39" ht="69.5" customHeight="1" thickBot="1">
      <c r="B2" s="289"/>
      <c r="C2" s="707" t="s">
        <v>1123</v>
      </c>
      <c r="D2" s="707"/>
      <c r="E2" s="290"/>
      <c r="F2" s="300" t="s">
        <v>1103</v>
      </c>
      <c r="G2" s="301">
        <f>IF('2. Biodiversidade + I. Verde'!G2=10%,30%,IF('2. Biodiversidade + I. Verde'!G2=0%,35%,25%))</f>
        <v>0.25</v>
      </c>
      <c r="H2" s="300" t="s">
        <v>1410</v>
      </c>
      <c r="I2" s="302">
        <f>J8+J18+J24+J30</f>
        <v>5.4038461538461533</v>
      </c>
      <c r="J2" s="303"/>
      <c r="K2" s="304"/>
      <c r="L2" s="16"/>
      <c r="M2" s="16"/>
      <c r="N2" s="16"/>
      <c r="O2" s="16"/>
      <c r="P2" s="16"/>
      <c r="Q2" s="16"/>
      <c r="R2" s="16"/>
      <c r="S2" s="20"/>
      <c r="T2" s="20"/>
      <c r="U2" s="20"/>
      <c r="X2" s="682"/>
      <c r="Y2" s="682"/>
      <c r="Z2" s="682"/>
      <c r="AA2" s="682"/>
      <c r="AB2" s="682"/>
      <c r="AC2" s="682"/>
      <c r="AD2" s="682"/>
      <c r="AE2" s="682"/>
      <c r="AF2" s="682"/>
      <c r="AG2" s="682"/>
      <c r="AH2" s="682"/>
      <c r="AI2" s="682"/>
      <c r="AJ2" s="682"/>
      <c r="AK2" s="682"/>
      <c r="AL2" s="682"/>
      <c r="AM2" s="25"/>
    </row>
    <row r="3" spans="2:39" ht="120" customHeight="1">
      <c r="B3" s="289"/>
      <c r="C3" s="683" t="s">
        <v>1162</v>
      </c>
      <c r="D3" s="683"/>
      <c r="E3" s="683"/>
      <c r="F3" s="683"/>
      <c r="G3" s="683"/>
      <c r="H3" s="683"/>
      <c r="I3" s="683"/>
      <c r="J3" s="683"/>
      <c r="K3" s="304"/>
      <c r="S3" s="20"/>
      <c r="T3" s="20"/>
      <c r="U3" s="20"/>
      <c r="W3" s="16"/>
      <c r="X3" s="682"/>
      <c r="Y3" s="682"/>
      <c r="Z3" s="682"/>
      <c r="AA3" s="682"/>
      <c r="AB3" s="682"/>
      <c r="AC3" s="682"/>
      <c r="AD3" s="682"/>
      <c r="AE3" s="682"/>
      <c r="AF3" s="682"/>
      <c r="AG3" s="682"/>
      <c r="AH3" s="682"/>
      <c r="AI3" s="682"/>
      <c r="AJ3" s="682"/>
      <c r="AK3" s="682"/>
      <c r="AL3" s="682"/>
      <c r="AM3" s="25"/>
    </row>
    <row r="4" spans="2:39" ht="14" customHeight="1" thickBot="1">
      <c r="B4" s="289"/>
      <c r="C4" s="297"/>
      <c r="D4" s="297"/>
      <c r="E4" s="297"/>
      <c r="F4" s="297"/>
      <c r="G4" s="297"/>
      <c r="H4" s="297"/>
      <c r="I4" s="297"/>
      <c r="J4" s="297"/>
      <c r="K4" s="304"/>
      <c r="S4" s="20"/>
      <c r="T4" s="20"/>
      <c r="U4" s="20"/>
      <c r="W4" s="16"/>
      <c r="X4" s="682"/>
      <c r="Y4" s="682"/>
      <c r="Z4" s="682"/>
      <c r="AA4" s="682"/>
      <c r="AB4" s="682"/>
      <c r="AC4" s="682"/>
      <c r="AD4" s="682"/>
      <c r="AE4" s="682"/>
      <c r="AF4" s="682"/>
      <c r="AG4" s="682"/>
      <c r="AH4" s="682"/>
      <c r="AI4" s="682"/>
      <c r="AJ4" s="682"/>
      <c r="AK4" s="682"/>
      <c r="AL4" s="682"/>
      <c r="AM4" s="25"/>
    </row>
    <row r="5" spans="2:39" ht="30" customHeight="1">
      <c r="B5" s="292"/>
      <c r="C5" s="666" t="s">
        <v>1124</v>
      </c>
      <c r="D5" s="667"/>
      <c r="E5" s="667"/>
      <c r="F5" s="667"/>
      <c r="G5" s="305"/>
      <c r="H5" s="306" t="s">
        <v>1072</v>
      </c>
      <c r="I5" s="711">
        <v>0.15</v>
      </c>
      <c r="J5" s="712"/>
      <c r="K5" s="292"/>
      <c r="S5" s="20"/>
      <c r="T5" s="20"/>
      <c r="U5" s="20"/>
      <c r="X5" s="682"/>
      <c r="Y5" s="682"/>
      <c r="Z5" s="682"/>
      <c r="AA5" s="682"/>
      <c r="AB5" s="682"/>
      <c r="AC5" s="682"/>
      <c r="AD5" s="682"/>
      <c r="AE5" s="682"/>
      <c r="AF5" s="682"/>
      <c r="AG5" s="682"/>
      <c r="AH5" s="682"/>
      <c r="AI5" s="682"/>
      <c r="AJ5" s="682"/>
      <c r="AK5" s="682"/>
      <c r="AL5" s="682"/>
      <c r="AM5" s="25"/>
    </row>
    <row r="6" spans="2:39" ht="164" customHeight="1" thickBot="1">
      <c r="B6" s="292"/>
      <c r="C6" s="668" t="s">
        <v>1352</v>
      </c>
      <c r="D6" s="669"/>
      <c r="E6" s="669"/>
      <c r="F6" s="669"/>
      <c r="G6" s="669"/>
      <c r="H6" s="672"/>
      <c r="I6" s="672"/>
      <c r="J6" s="670"/>
      <c r="K6" s="292"/>
      <c r="S6" s="20"/>
      <c r="T6" s="20"/>
      <c r="U6" s="20"/>
      <c r="V6" s="16"/>
      <c r="W6" s="16"/>
      <c r="X6" s="682"/>
      <c r="Y6" s="682"/>
      <c r="Z6" s="682"/>
      <c r="AA6" s="682"/>
      <c r="AB6" s="682"/>
      <c r="AC6" s="682"/>
      <c r="AD6" s="682"/>
      <c r="AE6" s="682"/>
      <c r="AF6" s="682"/>
      <c r="AG6" s="682"/>
      <c r="AH6" s="682"/>
      <c r="AI6" s="682"/>
      <c r="AJ6" s="682"/>
      <c r="AK6" s="682"/>
      <c r="AL6" s="682"/>
      <c r="AM6" s="25"/>
    </row>
    <row r="7" spans="2:39" ht="49" customHeight="1">
      <c r="B7" s="292"/>
      <c r="C7" s="307" t="s">
        <v>1127</v>
      </c>
      <c r="D7" s="308" t="s">
        <v>1126</v>
      </c>
      <c r="E7" s="308" t="s">
        <v>1125</v>
      </c>
      <c r="F7" s="308" t="s">
        <v>62</v>
      </c>
      <c r="G7" s="309" t="s">
        <v>1050</v>
      </c>
      <c r="H7" s="310"/>
      <c r="I7" s="311" t="s">
        <v>1397</v>
      </c>
      <c r="J7" s="312" t="s">
        <v>1102</v>
      </c>
      <c r="K7" s="292"/>
      <c r="S7" s="20"/>
      <c r="T7" s="20"/>
      <c r="U7" s="20"/>
      <c r="V7" s="16"/>
      <c r="W7" s="16"/>
      <c r="X7" s="155"/>
      <c r="Y7" s="155"/>
      <c r="Z7" s="155"/>
      <c r="AA7" s="155"/>
      <c r="AB7" s="155"/>
      <c r="AC7" s="155"/>
      <c r="AD7" s="155"/>
      <c r="AE7" s="155"/>
      <c r="AF7" s="155"/>
      <c r="AG7" s="155"/>
      <c r="AH7" s="155"/>
      <c r="AI7" s="155"/>
      <c r="AJ7" s="155"/>
      <c r="AK7" s="155"/>
      <c r="AL7" s="155"/>
      <c r="AM7" s="25"/>
    </row>
    <row r="8" spans="2:39" ht="57" customHeight="1" thickBot="1">
      <c r="B8" s="56"/>
      <c r="C8" s="100">
        <v>8000</v>
      </c>
      <c r="D8" s="67">
        <v>6000</v>
      </c>
      <c r="E8" s="313">
        <f>D8/C8</f>
        <v>0.75</v>
      </c>
      <c r="F8" s="313">
        <v>0.9</v>
      </c>
      <c r="G8" s="314">
        <v>0.8</v>
      </c>
      <c r="H8" s="310"/>
      <c r="I8" s="315">
        <f>IF(E8&gt;=F8,10,IF(E8&lt;G8,0,(E8-G8)/(F8-G8)*10))</f>
        <v>0</v>
      </c>
      <c r="J8" s="316">
        <f>I8*I5</f>
        <v>0</v>
      </c>
      <c r="K8" s="165"/>
      <c r="S8" s="20"/>
      <c r="T8" s="20"/>
      <c r="U8" s="20"/>
      <c r="V8" s="16"/>
      <c r="W8" s="16"/>
      <c r="X8" s="16"/>
      <c r="Y8" s="25"/>
      <c r="AA8" s="25"/>
      <c r="AB8" s="25"/>
      <c r="AC8" s="25"/>
      <c r="AD8" s="25"/>
      <c r="AE8" s="25"/>
      <c r="AF8" s="25"/>
      <c r="AG8" s="25"/>
      <c r="AH8" s="25"/>
      <c r="AI8" s="25"/>
      <c r="AJ8" s="25"/>
      <c r="AK8" s="25"/>
      <c r="AL8" s="25"/>
      <c r="AM8" s="25"/>
    </row>
    <row r="9" spans="2:39" ht="205.5" customHeight="1" thickBot="1">
      <c r="B9" s="56"/>
      <c r="C9" s="317" t="s">
        <v>1154</v>
      </c>
      <c r="D9" s="678" t="s">
        <v>1353</v>
      </c>
      <c r="E9" s="679"/>
      <c r="F9" s="318" t="s">
        <v>1295</v>
      </c>
      <c r="G9" s="708" t="s">
        <v>1379</v>
      </c>
      <c r="H9" s="709"/>
      <c r="I9" s="709"/>
      <c r="J9" s="710"/>
      <c r="K9" s="165"/>
      <c r="S9" s="20"/>
      <c r="T9" s="20"/>
      <c r="U9" s="20"/>
      <c r="V9" s="16"/>
      <c r="W9" s="16"/>
      <c r="X9" s="16"/>
      <c r="Y9" s="25"/>
      <c r="AA9" s="25"/>
      <c r="AB9" s="25"/>
      <c r="AC9" s="25"/>
      <c r="AD9" s="25"/>
      <c r="AE9" s="25"/>
      <c r="AF9" s="25"/>
      <c r="AG9" s="25"/>
      <c r="AH9" s="25"/>
      <c r="AI9" s="25"/>
      <c r="AJ9" s="25"/>
      <c r="AK9" s="25"/>
      <c r="AL9" s="25"/>
      <c r="AM9" s="25"/>
    </row>
    <row r="10" spans="2:39" ht="14" customHeight="1" thickBot="1">
      <c r="B10" s="56"/>
      <c r="C10" s="319"/>
      <c r="D10" s="320"/>
      <c r="E10" s="320"/>
      <c r="F10" s="321"/>
      <c r="G10" s="321"/>
      <c r="H10" s="322"/>
      <c r="I10" s="323"/>
      <c r="J10" s="323"/>
      <c r="K10" s="165"/>
      <c r="S10" s="20"/>
      <c r="T10" s="20"/>
      <c r="U10" s="20"/>
      <c r="V10" s="16"/>
      <c r="W10" s="16"/>
      <c r="X10" s="16"/>
      <c r="Y10" s="25"/>
      <c r="AA10" s="25"/>
      <c r="AB10" s="25"/>
      <c r="AC10" s="25"/>
      <c r="AD10" s="25"/>
      <c r="AE10" s="25"/>
      <c r="AF10" s="25"/>
      <c r="AG10" s="25"/>
      <c r="AH10" s="25"/>
      <c r="AI10" s="25"/>
      <c r="AJ10" s="25"/>
      <c r="AK10" s="25"/>
      <c r="AL10" s="25"/>
      <c r="AM10" s="25"/>
    </row>
    <row r="11" spans="2:39" ht="40.5" customHeight="1">
      <c r="B11" s="56"/>
      <c r="C11" s="666" t="s">
        <v>1128</v>
      </c>
      <c r="D11" s="667"/>
      <c r="E11" s="667"/>
      <c r="F11" s="667"/>
      <c r="G11" s="305"/>
      <c r="H11" s="306" t="s">
        <v>1072</v>
      </c>
      <c r="I11" s="711">
        <f>IF('0. Informação Preparatória'!$F$12=Listas!$A$33,35%,15%)</f>
        <v>0.15</v>
      </c>
      <c r="J11" s="712"/>
      <c r="K11" s="56"/>
      <c r="S11" s="20"/>
      <c r="T11" s="20"/>
      <c r="U11" s="20"/>
      <c r="V11" s="16"/>
      <c r="W11" s="16"/>
      <c r="X11" s="16"/>
      <c r="Y11" s="25"/>
      <c r="AA11" s="25"/>
      <c r="AB11" s="25"/>
      <c r="AC11" s="25"/>
      <c r="AD11" s="25"/>
      <c r="AE11" s="25"/>
      <c r="AF11" s="25"/>
      <c r="AG11" s="25"/>
      <c r="AH11" s="25"/>
      <c r="AI11" s="25"/>
      <c r="AJ11" s="25"/>
      <c r="AK11" s="25"/>
      <c r="AL11" s="25"/>
    </row>
    <row r="12" spans="2:39" ht="148" customHeight="1" thickBot="1">
      <c r="B12" s="56"/>
      <c r="C12" s="668" t="s">
        <v>1354</v>
      </c>
      <c r="D12" s="669"/>
      <c r="E12" s="669"/>
      <c r="F12" s="669"/>
      <c r="G12" s="669"/>
      <c r="H12" s="669"/>
      <c r="I12" s="669"/>
      <c r="J12" s="670"/>
      <c r="K12" s="56"/>
      <c r="S12" s="20"/>
      <c r="T12" s="20"/>
      <c r="U12" s="20"/>
      <c r="V12" s="16"/>
      <c r="W12" s="16"/>
      <c r="X12" s="16"/>
      <c r="Y12" s="25"/>
      <c r="AA12" s="25"/>
      <c r="AB12" s="25"/>
      <c r="AC12" s="25"/>
      <c r="AD12" s="25"/>
      <c r="AE12" s="25"/>
      <c r="AF12" s="25"/>
      <c r="AG12" s="25"/>
      <c r="AH12" s="25"/>
      <c r="AI12" s="25"/>
      <c r="AJ12" s="25"/>
      <c r="AK12" s="25"/>
      <c r="AL12" s="25"/>
    </row>
    <row r="13" spans="2:39" ht="53" customHeight="1">
      <c r="B13" s="56"/>
      <c r="C13" s="324" t="s">
        <v>1057</v>
      </c>
      <c r="D13" s="325" t="s">
        <v>1053</v>
      </c>
      <c r="E13" s="325" t="s">
        <v>1054</v>
      </c>
      <c r="F13" s="326" t="s">
        <v>1129</v>
      </c>
      <c r="G13" s="327" t="s">
        <v>1131</v>
      </c>
      <c r="H13" s="325" t="s">
        <v>1130</v>
      </c>
      <c r="I13" s="328" t="s">
        <v>1398</v>
      </c>
      <c r="J13" s="329" t="s">
        <v>1161</v>
      </c>
      <c r="K13" s="56"/>
      <c r="S13" s="20"/>
      <c r="T13" s="20"/>
      <c r="U13" s="20"/>
      <c r="X13" s="25"/>
      <c r="Y13" s="25"/>
      <c r="Z13" s="680"/>
      <c r="AA13" s="680"/>
      <c r="AB13" s="680"/>
      <c r="AC13" s="680"/>
      <c r="AD13" s="680"/>
      <c r="AE13" s="680"/>
      <c r="AF13" s="680"/>
      <c r="AG13" s="680"/>
      <c r="AH13" s="680"/>
      <c r="AI13" s="25"/>
      <c r="AJ13" s="25"/>
      <c r="AK13" s="25"/>
      <c r="AL13" s="25"/>
    </row>
    <row r="14" spans="2:39" ht="55" customHeight="1" thickBot="1">
      <c r="B14" s="56"/>
      <c r="C14" s="200" t="s">
        <v>1059</v>
      </c>
      <c r="D14" s="68">
        <v>100</v>
      </c>
      <c r="E14" s="68">
        <v>60</v>
      </c>
      <c r="F14" s="330">
        <f>E14/D14</f>
        <v>0.6</v>
      </c>
      <c r="G14" s="313">
        <f>IF('0. Informação Preparatória'!$F$12=Listas!$A$33,VLOOKUP(C14,Listas!$A$2:$E$8,4),VLOOKUP(C14,Listas!$A$2:$E$8,2))</f>
        <v>0.76</v>
      </c>
      <c r="H14" s="313">
        <f>IF('0. Informação Preparatória'!$F$12=Listas!$A$33,VLOOKUP(C14,Listas!$A$2:$E$8,5),VLOOKUP(C14,Listas!$A$2:$E$8,3))</f>
        <v>0.7</v>
      </c>
      <c r="I14" s="331">
        <f>IF(F14&gt;G14,0,IF(F14&lt;=H14,10,((G14-F14)/(G14-H14))*10))</f>
        <v>10</v>
      </c>
      <c r="J14" s="199" t="s">
        <v>137</v>
      </c>
      <c r="K14" s="164"/>
      <c r="S14" s="20"/>
      <c r="T14" s="20"/>
      <c r="U14" s="20"/>
      <c r="X14" s="25"/>
      <c r="Y14" s="25"/>
      <c r="Z14" s="680"/>
      <c r="AA14" s="680"/>
      <c r="AB14" s="680"/>
      <c r="AC14" s="680"/>
      <c r="AD14" s="680"/>
      <c r="AE14" s="680"/>
      <c r="AF14" s="680"/>
      <c r="AG14" s="680"/>
      <c r="AH14" s="680"/>
      <c r="AI14" s="25"/>
      <c r="AJ14" s="25"/>
      <c r="AK14" s="25"/>
      <c r="AL14" s="25"/>
    </row>
    <row r="15" spans="2:39" ht="55" customHeight="1">
      <c r="B15" s="56"/>
      <c r="C15" s="324" t="s">
        <v>1065</v>
      </c>
      <c r="D15" s="325" t="s">
        <v>1052</v>
      </c>
      <c r="E15" s="325" t="s">
        <v>1055</v>
      </c>
      <c r="F15" s="326" t="s">
        <v>1384</v>
      </c>
      <c r="G15" s="327" t="s">
        <v>1385</v>
      </c>
      <c r="H15" s="325" t="s">
        <v>1386</v>
      </c>
      <c r="I15" s="328" t="s">
        <v>1399</v>
      </c>
      <c r="J15" s="311" t="str">
        <f>IF(OR('0. Informação Preparatória'!F12=Listas!A32,'0. Informação Preparatória'!F12=Listas!A35),"Pontuação P4-2A","Pontuação P4-2B")</f>
        <v>Pontuação P4-2A</v>
      </c>
      <c r="K15" s="164"/>
      <c r="S15" s="20"/>
      <c r="T15" s="20"/>
      <c r="U15" s="20"/>
      <c r="X15" s="25"/>
      <c r="Y15" s="25"/>
      <c r="Z15" s="170"/>
      <c r="AA15" s="170"/>
      <c r="AB15" s="170"/>
      <c r="AC15" s="170"/>
      <c r="AD15" s="170"/>
      <c r="AE15" s="170"/>
      <c r="AF15" s="170"/>
      <c r="AG15" s="170"/>
      <c r="AH15" s="170"/>
      <c r="AI15" s="25"/>
      <c r="AJ15" s="25"/>
      <c r="AK15" s="25"/>
      <c r="AL15" s="25"/>
    </row>
    <row r="16" spans="2:39" ht="55" customHeight="1" thickBot="1">
      <c r="B16" s="56"/>
      <c r="C16" s="200" t="s">
        <v>1058</v>
      </c>
      <c r="D16" s="68">
        <v>100</v>
      </c>
      <c r="E16" s="68">
        <v>70</v>
      </c>
      <c r="F16" s="330">
        <f t="shared" ref="F16:F18" si="0">E16/D16</f>
        <v>0.7</v>
      </c>
      <c r="G16" s="313">
        <f>IF('0. Informação Preparatória'!$F$12=Listas!$A$33,VLOOKUP(C16,Listas!$A$2:$E$8,4),VLOOKUP(C16,Listas!$A$2:$E$8,2))</f>
        <v>0.76</v>
      </c>
      <c r="H16" s="313">
        <f>IF('0. Informação Preparatória'!$F$12=Listas!$A$33,VLOOKUP(C16,Listas!$A$2:$E$8,5),VLOOKUP(C16,Listas!$A$2:$E$8,3))</f>
        <v>0.7</v>
      </c>
      <c r="I16" s="331">
        <f>IF(F16&gt;G16,0,IF(F16&lt;=H16,10,((G16-F16)/(G16-H16))*10))</f>
        <v>10</v>
      </c>
      <c r="J16" s="315">
        <f>IF(AND('0. Informação Preparatória'!F12=Listas!A33,J14="SIM"),3+0.7*(I14*(1/3)+I16*(1/3)+I18*(1/3)),IF(AND('0. Informação Preparatória'!F12=Listas!A33,'4. Economia Circular + Carbono'!J14="NÃO"),0.7*(I14*(1/3)+I16*(1/3)+I18*(1/3)),(I14*(1/3)+I16*(1/3)+I18*(1/3))))</f>
        <v>10</v>
      </c>
      <c r="K16" s="164"/>
      <c r="S16" s="20"/>
      <c r="T16" s="20"/>
      <c r="U16" s="20"/>
      <c r="X16" s="25"/>
      <c r="Y16" s="25"/>
      <c r="Z16" s="170"/>
      <c r="AA16" s="170"/>
      <c r="AB16" s="170"/>
      <c r="AC16" s="170"/>
      <c r="AD16" s="170"/>
      <c r="AE16" s="170"/>
      <c r="AF16" s="170"/>
      <c r="AG16" s="170"/>
      <c r="AH16" s="170"/>
      <c r="AI16" s="25"/>
      <c r="AJ16" s="25"/>
      <c r="AK16" s="25"/>
      <c r="AL16" s="25"/>
    </row>
    <row r="17" spans="2:54" ht="55" customHeight="1">
      <c r="B17" s="56"/>
      <c r="C17" s="324" t="s">
        <v>1066</v>
      </c>
      <c r="D17" s="325" t="s">
        <v>1051</v>
      </c>
      <c r="E17" s="325" t="s">
        <v>1056</v>
      </c>
      <c r="F17" s="326" t="s">
        <v>1401</v>
      </c>
      <c r="G17" s="327" t="s">
        <v>1402</v>
      </c>
      <c r="H17" s="325" t="s">
        <v>1403</v>
      </c>
      <c r="I17" s="328" t="s">
        <v>1400</v>
      </c>
      <c r="J17" s="332" t="s">
        <v>1102</v>
      </c>
      <c r="K17" s="164"/>
      <c r="S17" s="20"/>
      <c r="T17" s="20"/>
      <c r="U17" s="20"/>
      <c r="X17" s="25"/>
      <c r="Y17" s="25"/>
      <c r="Z17" s="170"/>
      <c r="AA17" s="170"/>
      <c r="AB17" s="170"/>
      <c r="AC17" s="170"/>
      <c r="AD17" s="170"/>
      <c r="AE17" s="170"/>
      <c r="AF17" s="170"/>
      <c r="AG17" s="170"/>
      <c r="AH17" s="170"/>
      <c r="AI17" s="25"/>
      <c r="AJ17" s="25"/>
      <c r="AK17" s="25"/>
      <c r="AL17" s="25"/>
    </row>
    <row r="18" spans="2:54" ht="55" customHeight="1" thickBot="1">
      <c r="B18" s="56"/>
      <c r="C18" s="200" t="s">
        <v>1063</v>
      </c>
      <c r="D18" s="68">
        <v>100</v>
      </c>
      <c r="E18" s="68">
        <v>10</v>
      </c>
      <c r="F18" s="330">
        <f t="shared" si="0"/>
        <v>0.1</v>
      </c>
      <c r="G18" s="313">
        <f>IF('0. Informação Preparatória'!$F$12=Listas!$A$33,VLOOKUP(C18,Listas!$A$2:$E$8,4),VLOOKUP(C18,Listas!$A$2:$E$8,2))</f>
        <v>0.44</v>
      </c>
      <c r="H18" s="313">
        <f>IF('0. Informação Preparatória'!$F$12=Listas!$A$33,VLOOKUP(C18,Listas!$A$2:$E$8,5),VLOOKUP(C18,Listas!$A$2:$E$8,3))</f>
        <v>0.3</v>
      </c>
      <c r="I18" s="331">
        <f>IF(F18&gt;G18,0,IF(F18&lt;=H18,10,((G18-F18)/(G18-H18))*10))</f>
        <v>10</v>
      </c>
      <c r="J18" s="333">
        <f>I11*(J16)</f>
        <v>1.5</v>
      </c>
      <c r="K18" s="164"/>
      <c r="S18" s="20"/>
      <c r="T18" s="20"/>
      <c r="U18" s="20"/>
      <c r="X18" s="25"/>
      <c r="Y18" s="25"/>
      <c r="Z18" s="170"/>
      <c r="AA18" s="170"/>
      <c r="AB18" s="170"/>
      <c r="AC18" s="170"/>
      <c r="AD18" s="170"/>
      <c r="AE18" s="170"/>
      <c r="AF18" s="170"/>
      <c r="AG18" s="170"/>
      <c r="AH18" s="170"/>
      <c r="AI18" s="25"/>
      <c r="AJ18" s="25"/>
      <c r="AK18" s="25"/>
      <c r="AL18" s="25"/>
    </row>
    <row r="19" spans="2:54" ht="143.5" customHeight="1" thickBot="1">
      <c r="B19" s="56"/>
      <c r="C19" s="317" t="s">
        <v>1154</v>
      </c>
      <c r="D19" s="678" t="s">
        <v>1355</v>
      </c>
      <c r="E19" s="679"/>
      <c r="F19" s="318" t="s">
        <v>1295</v>
      </c>
      <c r="G19" s="708" t="s">
        <v>1356</v>
      </c>
      <c r="H19" s="709"/>
      <c r="I19" s="709"/>
      <c r="J19" s="710"/>
      <c r="K19" s="164"/>
      <c r="S19" s="20"/>
      <c r="T19" s="20"/>
      <c r="U19" s="20"/>
      <c r="X19" s="25"/>
      <c r="Y19" s="25"/>
      <c r="Z19" s="172"/>
      <c r="AA19" s="172"/>
      <c r="AB19" s="172"/>
      <c r="AC19" s="172"/>
      <c r="AD19" s="172"/>
      <c r="AE19" s="172"/>
      <c r="AF19" s="172"/>
      <c r="AG19" s="172"/>
      <c r="AH19" s="172"/>
      <c r="AI19" s="25"/>
      <c r="AJ19" s="25"/>
      <c r="AK19" s="25"/>
      <c r="AL19" s="25"/>
    </row>
    <row r="20" spans="2:54" ht="14" customHeight="1" thickBot="1">
      <c r="B20" s="56"/>
      <c r="C20" s="319"/>
      <c r="D20" s="320"/>
      <c r="E20" s="320"/>
      <c r="F20" s="321"/>
      <c r="G20" s="321"/>
      <c r="H20" s="322"/>
      <c r="I20" s="323"/>
      <c r="J20" s="323"/>
      <c r="K20" s="164"/>
      <c r="S20" s="20"/>
      <c r="T20" s="20"/>
      <c r="U20" s="20"/>
      <c r="X20" s="25"/>
      <c r="Y20" s="25"/>
      <c r="Z20" s="172"/>
      <c r="AA20" s="172"/>
      <c r="AB20" s="172"/>
      <c r="AC20" s="172"/>
      <c r="AD20" s="172"/>
      <c r="AE20" s="172"/>
      <c r="AF20" s="172"/>
      <c r="AG20" s="172"/>
      <c r="AH20" s="172"/>
      <c r="AI20" s="25"/>
      <c r="AJ20" s="25"/>
      <c r="AK20" s="25"/>
      <c r="AL20" s="25"/>
    </row>
    <row r="21" spans="2:54" ht="45" customHeight="1">
      <c r="B21" s="56"/>
      <c r="C21" s="666" t="s">
        <v>1132</v>
      </c>
      <c r="D21" s="667"/>
      <c r="E21" s="667"/>
      <c r="F21" s="667"/>
      <c r="G21" s="305"/>
      <c r="H21" s="306" t="s">
        <v>1072</v>
      </c>
      <c r="I21" s="711">
        <f>IF('0. Informação Preparatória'!$F$12=Listas!$A$33,25%,35%)</f>
        <v>0.35</v>
      </c>
      <c r="J21" s="712"/>
      <c r="K21" s="56"/>
      <c r="S21" s="20"/>
      <c r="T21" s="20"/>
      <c r="U21" s="20"/>
      <c r="V21" s="25"/>
      <c r="W21" s="25"/>
      <c r="X21" s="25"/>
      <c r="Y21" s="25"/>
      <c r="Z21" s="25"/>
      <c r="AA21" s="25"/>
      <c r="AB21" s="25"/>
      <c r="AC21" s="25"/>
      <c r="AD21" s="25"/>
      <c r="AE21" s="25"/>
      <c r="AF21" s="25"/>
      <c r="AG21" s="25"/>
      <c r="AH21" s="25"/>
    </row>
    <row r="22" spans="2:54" ht="75" customHeight="1" thickBot="1">
      <c r="B22" s="56"/>
      <c r="C22" s="671" t="s">
        <v>1134</v>
      </c>
      <c r="D22" s="672"/>
      <c r="E22" s="672"/>
      <c r="F22" s="672"/>
      <c r="G22" s="672"/>
      <c r="H22" s="672"/>
      <c r="I22" s="672"/>
      <c r="J22" s="673"/>
      <c r="K22" s="56"/>
      <c r="S22" s="20"/>
      <c r="T22" s="20"/>
      <c r="U22" s="20"/>
      <c r="V22" s="20"/>
      <c r="W22" s="92"/>
      <c r="X22" s="92"/>
      <c r="Y22" s="92"/>
      <c r="Z22" s="95"/>
      <c r="AA22" s="92"/>
      <c r="AB22" s="92"/>
      <c r="AC22" s="20"/>
      <c r="AD22" s="20"/>
      <c r="AE22" s="16"/>
      <c r="AF22" s="16"/>
      <c r="AG22" s="31"/>
      <c r="AH22" s="16"/>
      <c r="AI22" s="22"/>
      <c r="AN22" s="30"/>
      <c r="AO22" s="32"/>
      <c r="AP22" s="33"/>
      <c r="AR22" s="23"/>
      <c r="AS22" s="155"/>
      <c r="AT22" s="34"/>
      <c r="AU22" s="24"/>
    </row>
    <row r="23" spans="2:54" ht="40.5" customHeight="1">
      <c r="B23" s="148"/>
      <c r="C23" s="324" t="s">
        <v>1135</v>
      </c>
      <c r="D23" s="325" t="s">
        <v>1136</v>
      </c>
      <c r="E23" s="325" t="s">
        <v>1137</v>
      </c>
      <c r="F23" s="334"/>
      <c r="G23" s="334"/>
      <c r="H23" s="334"/>
      <c r="I23" s="335" t="s">
        <v>1404</v>
      </c>
      <c r="J23" s="336" t="s">
        <v>1102</v>
      </c>
      <c r="K23" s="159"/>
      <c r="S23" s="20"/>
      <c r="T23" s="20"/>
      <c r="U23" s="20"/>
      <c r="V23" s="20"/>
      <c r="W23" s="20"/>
      <c r="X23" s="79"/>
      <c r="Y23" s="95"/>
      <c r="Z23" s="70"/>
      <c r="AA23" s="70"/>
      <c r="AC23" s="24"/>
      <c r="AD23" s="680"/>
      <c r="AE23" s="680"/>
      <c r="AF23" s="680"/>
      <c r="AG23" s="680"/>
      <c r="AH23" s="680"/>
      <c r="AI23" s="680"/>
      <c r="AJ23" s="680"/>
      <c r="AK23" s="680"/>
      <c r="AL23" s="680"/>
      <c r="AR23" s="30"/>
      <c r="AS23" s="33"/>
      <c r="AU23" s="28"/>
      <c r="AV23" s="35"/>
      <c r="AW23" s="36"/>
      <c r="AX23" s="24"/>
      <c r="AY23" s="37"/>
      <c r="BA23" s="28"/>
      <c r="BB23" s="28"/>
    </row>
    <row r="24" spans="2:54" ht="40.5" customHeight="1" thickBot="1">
      <c r="B24" s="56"/>
      <c r="C24" s="201">
        <v>45</v>
      </c>
      <c r="D24" s="337">
        <v>70</v>
      </c>
      <c r="E24" s="338">
        <v>5</v>
      </c>
      <c r="F24" s="339"/>
      <c r="G24" s="339"/>
      <c r="H24" s="339"/>
      <c r="I24" s="340">
        <f>IF(C24&gt;D24,10,IF(C24&lt;E24,0,10*(C24-E24)/(D24-E24)))</f>
        <v>6.1538461538461542</v>
      </c>
      <c r="J24" s="341">
        <f>I24*I21</f>
        <v>2.1538461538461537</v>
      </c>
      <c r="K24" s="167"/>
      <c r="S24" s="20"/>
      <c r="T24" s="79"/>
      <c r="U24" s="95"/>
      <c r="V24" s="70"/>
      <c r="W24" s="70"/>
      <c r="Z24" s="156"/>
      <c r="AA24" s="156"/>
      <c r="AB24" s="156"/>
      <c r="AC24" s="156"/>
      <c r="AD24" s="156"/>
      <c r="AE24" s="156"/>
      <c r="AF24" s="156"/>
      <c r="AG24" s="156"/>
      <c r="AH24" s="156"/>
      <c r="AN24" s="30"/>
      <c r="AO24" s="33"/>
      <c r="AQ24" s="28"/>
      <c r="AR24" s="35"/>
      <c r="AS24" s="36"/>
      <c r="AT24" s="24"/>
      <c r="AU24" s="37"/>
      <c r="AW24" s="28"/>
      <c r="AX24" s="28"/>
    </row>
    <row r="25" spans="2:54" ht="75" customHeight="1" thickBot="1">
      <c r="B25" s="56"/>
      <c r="C25" s="317" t="s">
        <v>1154</v>
      </c>
      <c r="D25" s="678" t="s">
        <v>1357</v>
      </c>
      <c r="E25" s="679"/>
      <c r="F25" s="318" t="s">
        <v>1295</v>
      </c>
      <c r="G25" s="708" t="s">
        <v>1380</v>
      </c>
      <c r="H25" s="709"/>
      <c r="I25" s="709"/>
      <c r="J25" s="710"/>
      <c r="K25" s="167"/>
      <c r="S25" s="20"/>
      <c r="T25" s="79"/>
      <c r="U25" s="95"/>
      <c r="V25" s="70"/>
      <c r="W25" s="70"/>
      <c r="Z25" s="172"/>
      <c r="AA25" s="172"/>
      <c r="AB25" s="172"/>
      <c r="AC25" s="172"/>
      <c r="AD25" s="172"/>
      <c r="AE25" s="172"/>
      <c r="AF25" s="172"/>
      <c r="AG25" s="172"/>
      <c r="AH25" s="172"/>
      <c r="AN25" s="30"/>
      <c r="AO25" s="33"/>
      <c r="AQ25" s="28"/>
      <c r="AR25" s="35"/>
      <c r="AS25" s="36"/>
      <c r="AT25" s="24"/>
      <c r="AU25" s="37"/>
      <c r="AW25" s="28"/>
      <c r="AX25" s="28"/>
    </row>
    <row r="26" spans="2:54" ht="14" customHeight="1" thickBot="1">
      <c r="B26" s="56"/>
      <c r="C26" s="319"/>
      <c r="D26" s="320"/>
      <c r="E26" s="320"/>
      <c r="F26" s="321"/>
      <c r="G26" s="321"/>
      <c r="H26" s="322"/>
      <c r="I26" s="323"/>
      <c r="J26" s="323"/>
      <c r="K26" s="167"/>
      <c r="S26" s="20"/>
      <c r="T26" s="79"/>
      <c r="U26" s="95"/>
      <c r="V26" s="70"/>
      <c r="W26" s="70"/>
      <c r="Z26" s="172"/>
      <c r="AA26" s="172"/>
      <c r="AB26" s="172"/>
      <c r="AC26" s="172"/>
      <c r="AD26" s="172"/>
      <c r="AE26" s="172"/>
      <c r="AF26" s="172"/>
      <c r="AG26" s="172"/>
      <c r="AH26" s="172"/>
      <c r="AN26" s="30"/>
      <c r="AO26" s="33"/>
      <c r="AQ26" s="28"/>
      <c r="AR26" s="35"/>
      <c r="AS26" s="36"/>
      <c r="AT26" s="24"/>
      <c r="AU26" s="37"/>
      <c r="AW26" s="28"/>
      <c r="AX26" s="28"/>
    </row>
    <row r="27" spans="2:54" ht="40.5" customHeight="1">
      <c r="B27" s="148"/>
      <c r="C27" s="666" t="s">
        <v>1133</v>
      </c>
      <c r="D27" s="667"/>
      <c r="E27" s="667"/>
      <c r="F27" s="667"/>
      <c r="G27" s="305"/>
      <c r="H27" s="306" t="s">
        <v>1072</v>
      </c>
      <c r="I27" s="711">
        <f>IF('0. Informação Preparatória'!$F$12=Listas!$A$33,25%,35%)</f>
        <v>0.35</v>
      </c>
      <c r="J27" s="712"/>
      <c r="K27" s="56"/>
      <c r="S27" s="20"/>
      <c r="T27" s="79"/>
      <c r="U27" s="95"/>
      <c r="V27" s="70"/>
      <c r="W27" s="70"/>
      <c r="Z27" s="156"/>
      <c r="AA27" s="156"/>
      <c r="AB27" s="156"/>
      <c r="AC27" s="156"/>
      <c r="AD27" s="156"/>
      <c r="AE27" s="156"/>
      <c r="AF27" s="156"/>
      <c r="AG27" s="156"/>
      <c r="AH27" s="156"/>
      <c r="AN27" s="30"/>
      <c r="AO27" s="33"/>
      <c r="AQ27" s="28"/>
      <c r="AR27" s="35"/>
      <c r="AS27" s="36"/>
      <c r="AT27" s="24"/>
      <c r="AU27" s="37"/>
      <c r="AW27" s="28"/>
      <c r="AX27" s="28"/>
    </row>
    <row r="28" spans="2:54" ht="66.5" customHeight="1" thickBot="1">
      <c r="B28" s="148"/>
      <c r="C28" s="671" t="s">
        <v>1138</v>
      </c>
      <c r="D28" s="672"/>
      <c r="E28" s="672"/>
      <c r="F28" s="672"/>
      <c r="G28" s="672"/>
      <c r="H28" s="672"/>
      <c r="I28" s="672"/>
      <c r="J28" s="673"/>
      <c r="K28" s="56"/>
      <c r="S28" s="20"/>
      <c r="T28" s="79"/>
      <c r="U28" s="95"/>
      <c r="V28" s="70"/>
      <c r="W28" s="70"/>
      <c r="Z28" s="156"/>
      <c r="AA28" s="156"/>
      <c r="AB28" s="156"/>
      <c r="AC28" s="156"/>
      <c r="AD28" s="156"/>
      <c r="AE28" s="156"/>
      <c r="AF28" s="156"/>
      <c r="AG28" s="156"/>
      <c r="AH28" s="156"/>
      <c r="AN28" s="30"/>
      <c r="AO28" s="33"/>
      <c r="AQ28" s="28"/>
      <c r="AR28" s="35"/>
      <c r="AS28" s="36"/>
      <c r="AT28" s="24"/>
      <c r="AU28" s="37"/>
      <c r="AW28" s="28"/>
      <c r="AX28" s="28"/>
    </row>
    <row r="29" spans="2:54" ht="40.5" customHeight="1">
      <c r="B29" s="148"/>
      <c r="C29" s="329" t="s">
        <v>1041</v>
      </c>
      <c r="D29" s="325" t="s">
        <v>1136</v>
      </c>
      <c r="E29" s="325" t="s">
        <v>1137</v>
      </c>
      <c r="F29" s="334"/>
      <c r="G29" s="334"/>
      <c r="H29" s="334"/>
      <c r="I29" s="307" t="s">
        <v>1405</v>
      </c>
      <c r="J29" s="336" t="s">
        <v>1102</v>
      </c>
      <c r="K29" s="159"/>
      <c r="S29" s="20"/>
      <c r="T29" s="79"/>
      <c r="U29" s="95"/>
      <c r="V29" s="70"/>
      <c r="W29" s="70"/>
      <c r="Z29" s="156"/>
      <c r="AA29" s="156"/>
      <c r="AB29" s="156"/>
      <c r="AC29" s="156"/>
      <c r="AD29" s="156"/>
      <c r="AE29" s="156"/>
      <c r="AF29" s="156"/>
      <c r="AG29" s="156"/>
      <c r="AH29" s="156"/>
      <c r="AN29" s="30"/>
      <c r="AO29" s="33"/>
      <c r="AQ29" s="28"/>
      <c r="AR29" s="35"/>
      <c r="AS29" s="36"/>
      <c r="AT29" s="24"/>
      <c r="AU29" s="37"/>
      <c r="AW29" s="28"/>
      <c r="AX29" s="28"/>
    </row>
    <row r="30" spans="2:54" ht="40.5" customHeight="1" thickBot="1">
      <c r="B30" s="148"/>
      <c r="C30" s="190">
        <v>850</v>
      </c>
      <c r="D30" s="337">
        <v>1000</v>
      </c>
      <c r="E30" s="338">
        <v>700</v>
      </c>
      <c r="F30" s="339"/>
      <c r="G30" s="339"/>
      <c r="H30" s="339"/>
      <c r="I30" s="340">
        <f>IF(C30&gt;D30,0,IF(C30&lt;E30,10,10*(D30-C30)/(D30-E30)))</f>
        <v>5</v>
      </c>
      <c r="J30" s="341">
        <f>I30*I27</f>
        <v>1.75</v>
      </c>
      <c r="K30" s="167"/>
      <c r="S30" s="20"/>
      <c r="T30" s="79"/>
      <c r="U30" s="95"/>
      <c r="V30" s="70"/>
      <c r="W30" s="70"/>
      <c r="Z30" s="156"/>
      <c r="AA30" s="156"/>
      <c r="AB30" s="156"/>
      <c r="AC30" s="156"/>
      <c r="AD30" s="156"/>
      <c r="AE30" s="156"/>
      <c r="AF30" s="156"/>
      <c r="AG30" s="156"/>
      <c r="AH30" s="156"/>
      <c r="AN30" s="30"/>
      <c r="AO30" s="33"/>
      <c r="AQ30" s="28"/>
      <c r="AR30" s="35"/>
      <c r="AS30" s="36"/>
      <c r="AT30" s="24"/>
      <c r="AU30" s="37"/>
      <c r="AW30" s="28"/>
      <c r="AX30" s="28"/>
    </row>
    <row r="31" spans="2:54" ht="75" customHeight="1" thickBot="1">
      <c r="B31" s="148"/>
      <c r="C31" s="317" t="s">
        <v>1154</v>
      </c>
      <c r="D31" s="678" t="s">
        <v>1358</v>
      </c>
      <c r="E31" s="679"/>
      <c r="F31" s="318" t="s">
        <v>1295</v>
      </c>
      <c r="G31" s="708" t="s">
        <v>1380</v>
      </c>
      <c r="H31" s="709"/>
      <c r="I31" s="709"/>
      <c r="J31" s="710"/>
      <c r="K31" s="167"/>
      <c r="S31" s="20"/>
      <c r="T31" s="79"/>
      <c r="U31" s="95"/>
      <c r="V31" s="70"/>
      <c r="W31" s="70"/>
      <c r="Z31" s="172"/>
      <c r="AA31" s="172"/>
      <c r="AB31" s="172"/>
      <c r="AC31" s="172"/>
      <c r="AD31" s="172"/>
      <c r="AE31" s="172"/>
      <c r="AF31" s="172"/>
      <c r="AG31" s="172"/>
      <c r="AH31" s="172"/>
      <c r="AN31" s="30"/>
      <c r="AO31" s="33"/>
      <c r="AQ31" s="28"/>
      <c r="AR31" s="35"/>
      <c r="AS31" s="36"/>
      <c r="AT31" s="24"/>
      <c r="AU31" s="37"/>
      <c r="AW31" s="28"/>
      <c r="AX31" s="28"/>
    </row>
    <row r="32" spans="2:54" ht="14" customHeight="1">
      <c r="B32" s="147"/>
      <c r="C32" s="150"/>
      <c r="D32" s="150"/>
      <c r="E32" s="150"/>
      <c r="F32" s="150"/>
      <c r="G32" s="191"/>
      <c r="H32" s="192"/>
      <c r="I32" s="150"/>
      <c r="J32" s="150"/>
      <c r="K32" s="193"/>
      <c r="L32" s="514"/>
      <c r="M32" s="514"/>
      <c r="N32" s="514"/>
      <c r="O32" s="514"/>
      <c r="P32" s="514"/>
      <c r="Q32" s="514"/>
      <c r="R32" s="514"/>
      <c r="S32" s="514"/>
      <c r="T32" s="79"/>
      <c r="U32" s="71"/>
      <c r="V32" s="70"/>
      <c r="W32" s="69"/>
      <c r="Y32" s="22"/>
      <c r="Z32" s="22"/>
      <c r="AA32" s="22"/>
      <c r="AQ32" s="23"/>
      <c r="AR32" s="22"/>
      <c r="AS32" s="39"/>
      <c r="AT32" s="22"/>
    </row>
    <row r="33" spans="3:46" ht="40.5" customHeight="1">
      <c r="C33" s="73"/>
      <c r="D33" s="73"/>
      <c r="E33" s="73"/>
      <c r="F33" s="73"/>
      <c r="G33" s="73"/>
      <c r="H33" s="73"/>
      <c r="I33" s="73"/>
      <c r="J33" s="73"/>
      <c r="K33" s="75"/>
      <c r="L33" s="514"/>
      <c r="M33" s="514"/>
      <c r="N33" s="514"/>
      <c r="O33" s="514"/>
      <c r="P33" s="514"/>
      <c r="Q33" s="514"/>
      <c r="R33" s="514"/>
      <c r="S33" s="514"/>
      <c r="T33" s="79"/>
      <c r="U33" s="75"/>
      <c r="V33" s="70"/>
      <c r="W33" s="75"/>
      <c r="Y33" s="22"/>
      <c r="Z33" s="22"/>
      <c r="AA33" s="22"/>
      <c r="AQ33" s="23"/>
      <c r="AR33" s="22"/>
      <c r="AS33" s="39"/>
      <c r="AT33" s="22"/>
    </row>
    <row r="34" spans="3:46" ht="40.5" customHeight="1">
      <c r="C34" s="73"/>
      <c r="D34" s="73"/>
      <c r="E34" s="73"/>
      <c r="F34" s="73"/>
      <c r="G34" s="84"/>
      <c r="H34" s="84"/>
      <c r="I34" s="77"/>
      <c r="J34" s="73"/>
      <c r="K34" s="72"/>
      <c r="L34" s="514"/>
      <c r="M34" s="514"/>
      <c r="N34" s="514"/>
      <c r="O34" s="514"/>
      <c r="P34" s="514"/>
      <c r="Q34" s="514"/>
      <c r="R34" s="514"/>
      <c r="S34" s="514"/>
      <c r="T34" s="79"/>
      <c r="U34" s="71"/>
      <c r="V34" s="70"/>
      <c r="W34" s="69"/>
      <c r="Y34" s="22"/>
      <c r="Z34" s="22"/>
      <c r="AA34" s="22"/>
      <c r="AQ34" s="23"/>
      <c r="AR34" s="22"/>
      <c r="AS34" s="39"/>
      <c r="AT34" s="22"/>
    </row>
    <row r="35" spans="3:46" ht="40.5" customHeight="1">
      <c r="C35" s="73"/>
      <c r="D35" s="73"/>
      <c r="E35" s="73"/>
      <c r="F35" s="73"/>
      <c r="G35" s="74"/>
      <c r="H35" s="74"/>
      <c r="I35" s="74"/>
      <c r="J35" s="74"/>
      <c r="K35" s="89"/>
      <c r="L35" s="513"/>
      <c r="M35" s="513"/>
      <c r="N35" s="513"/>
      <c r="O35" s="513"/>
      <c r="P35" s="513"/>
      <c r="Q35" s="513"/>
      <c r="R35" s="513"/>
      <c r="S35" s="513"/>
      <c r="T35" s="79"/>
      <c r="U35" s="75"/>
      <c r="V35" s="70"/>
      <c r="W35" s="75"/>
      <c r="Y35" s="22"/>
      <c r="Z35" s="22"/>
      <c r="AA35" s="22"/>
      <c r="AQ35" s="23"/>
      <c r="AR35" s="22"/>
      <c r="AS35" s="39"/>
      <c r="AT35" s="22"/>
    </row>
    <row r="36" spans="3:46" ht="40.5" customHeight="1">
      <c r="C36" s="73"/>
      <c r="D36" s="73"/>
      <c r="E36" s="73"/>
      <c r="F36" s="73"/>
      <c r="G36" s="74"/>
      <c r="H36" s="74"/>
      <c r="I36" s="74"/>
      <c r="J36" s="74"/>
      <c r="K36" s="88"/>
      <c r="L36" s="513"/>
      <c r="M36" s="513"/>
      <c r="N36" s="513"/>
      <c r="O36" s="513"/>
      <c r="P36" s="513"/>
      <c r="Q36" s="513"/>
      <c r="R36" s="513"/>
      <c r="S36" s="513"/>
      <c r="T36" s="79"/>
      <c r="U36" s="71"/>
      <c r="V36" s="70"/>
      <c r="W36" s="69"/>
      <c r="Y36" s="22"/>
      <c r="Z36" s="22"/>
      <c r="AA36" s="22"/>
      <c r="AQ36" s="23"/>
      <c r="AR36" s="22"/>
      <c r="AS36" s="39"/>
      <c r="AT36" s="22"/>
    </row>
    <row r="37" spans="3:46" ht="40.5" customHeight="1">
      <c r="C37" s="73"/>
      <c r="D37" s="73"/>
      <c r="E37" s="73"/>
      <c r="F37" s="73"/>
      <c r="G37" s="73"/>
      <c r="H37" s="87"/>
      <c r="I37" s="74"/>
      <c r="J37" s="74"/>
      <c r="K37" s="75"/>
      <c r="L37" s="514"/>
      <c r="M37" s="514"/>
      <c r="N37" s="514"/>
      <c r="O37" s="514"/>
      <c r="P37" s="514"/>
      <c r="Q37" s="514"/>
      <c r="R37" s="514"/>
      <c r="S37" s="514"/>
      <c r="T37" s="79"/>
      <c r="U37" s="75"/>
      <c r="V37" s="70"/>
      <c r="W37" s="75"/>
      <c r="Y37" s="22"/>
      <c r="Z37" s="22"/>
      <c r="AA37" s="22"/>
      <c r="AQ37" s="23"/>
      <c r="AR37" s="22"/>
      <c r="AS37" s="39"/>
      <c r="AT37" s="22"/>
    </row>
    <row r="38" spans="3:46" ht="40.5" customHeight="1">
      <c r="C38" s="73"/>
      <c r="D38" s="73"/>
      <c r="E38" s="73"/>
      <c r="F38" s="73"/>
      <c r="G38" s="85"/>
      <c r="H38" s="74"/>
      <c r="I38" s="74"/>
      <c r="J38" s="74"/>
      <c r="K38" s="72"/>
      <c r="L38" s="514"/>
      <c r="M38" s="514"/>
      <c r="N38" s="514"/>
      <c r="O38" s="514"/>
      <c r="P38" s="514"/>
      <c r="Q38" s="514"/>
      <c r="R38" s="514"/>
      <c r="S38" s="514"/>
      <c r="T38" s="79"/>
      <c r="U38" s="71"/>
      <c r="V38" s="70"/>
      <c r="W38" s="69"/>
      <c r="Y38" s="22"/>
      <c r="Z38" s="22"/>
      <c r="AA38" s="22"/>
      <c r="AQ38" s="23"/>
      <c r="AR38" s="22"/>
      <c r="AS38" s="39"/>
      <c r="AT38" s="22"/>
    </row>
    <row r="39" spans="3:46" ht="40.5" customHeight="1">
      <c r="C39" s="73"/>
      <c r="D39" s="73"/>
      <c r="E39" s="73"/>
      <c r="F39" s="73"/>
      <c r="G39" s="73"/>
      <c r="H39" s="73"/>
      <c r="I39" s="73"/>
      <c r="J39" s="73"/>
      <c r="K39" s="75"/>
      <c r="L39" s="514"/>
      <c r="M39" s="514"/>
      <c r="N39" s="514"/>
      <c r="O39" s="514"/>
      <c r="P39" s="514"/>
      <c r="Q39" s="514"/>
      <c r="R39" s="514"/>
      <c r="S39" s="514"/>
      <c r="T39" s="70"/>
      <c r="U39" s="75"/>
      <c r="V39" s="70"/>
      <c r="W39" s="75"/>
      <c r="Y39" s="22"/>
      <c r="Z39" s="22"/>
      <c r="AA39" s="22"/>
      <c r="AH39" s="16"/>
    </row>
    <row r="40" spans="3:46" ht="40.5" customHeight="1">
      <c r="C40" s="73"/>
      <c r="D40" s="73"/>
      <c r="E40" s="73"/>
      <c r="F40" s="73"/>
      <c r="G40" s="77"/>
      <c r="H40" s="84"/>
      <c r="I40" s="73"/>
      <c r="J40" s="73"/>
      <c r="K40" s="72"/>
      <c r="L40" s="514"/>
      <c r="M40" s="514"/>
      <c r="N40" s="514"/>
      <c r="O40" s="514"/>
      <c r="P40" s="514"/>
      <c r="Q40" s="514"/>
      <c r="R40" s="514"/>
      <c r="S40" s="514"/>
      <c r="T40" s="70"/>
      <c r="U40" s="71"/>
      <c r="V40" s="70"/>
      <c r="W40" s="69"/>
      <c r="Y40" s="22"/>
      <c r="Z40" s="22"/>
      <c r="AA40" s="22"/>
      <c r="AH40" s="16"/>
    </row>
    <row r="41" spans="3:46" ht="45" customHeight="1">
      <c r="C41" s="73"/>
      <c r="D41" s="73"/>
      <c r="E41" s="73"/>
      <c r="F41" s="73"/>
      <c r="G41" s="73"/>
      <c r="H41" s="73"/>
      <c r="I41" s="73"/>
      <c r="J41" s="74"/>
      <c r="K41" s="75"/>
      <c r="L41" s="514"/>
      <c r="M41" s="514"/>
      <c r="N41" s="514"/>
      <c r="O41" s="514"/>
      <c r="P41" s="514"/>
      <c r="Q41" s="514"/>
      <c r="R41" s="514"/>
      <c r="S41" s="514"/>
      <c r="T41" s="83"/>
      <c r="U41" s="75"/>
      <c r="V41" s="70"/>
      <c r="W41" s="75"/>
      <c r="Y41" s="22"/>
      <c r="Z41" s="22"/>
      <c r="AA41" s="22"/>
      <c r="AH41" s="16"/>
    </row>
    <row r="42" spans="3:46" ht="26" customHeight="1">
      <c r="C42" s="73"/>
      <c r="D42" s="73"/>
      <c r="E42" s="73"/>
      <c r="F42" s="73"/>
      <c r="G42" s="82"/>
      <c r="H42" s="81"/>
      <c r="I42" s="81"/>
      <c r="J42" s="73"/>
      <c r="K42" s="72"/>
      <c r="L42" s="514"/>
      <c r="M42" s="514"/>
      <c r="N42" s="514"/>
      <c r="O42" s="514"/>
      <c r="P42" s="514"/>
      <c r="Q42" s="514"/>
      <c r="R42" s="514"/>
      <c r="S42" s="514"/>
      <c r="T42" s="70"/>
      <c r="U42" s="71"/>
      <c r="V42" s="70"/>
      <c r="W42" s="69"/>
      <c r="Y42" s="22"/>
      <c r="Z42" s="22"/>
      <c r="AA42" s="22"/>
      <c r="AH42" s="16"/>
    </row>
    <row r="43" spans="3:46" ht="45" customHeight="1">
      <c r="C43" s="513"/>
      <c r="D43" s="73"/>
      <c r="E43" s="73"/>
      <c r="F43" s="73"/>
      <c r="G43" s="73"/>
      <c r="H43" s="73"/>
      <c r="I43" s="73"/>
      <c r="J43" s="73"/>
      <c r="K43" s="75"/>
      <c r="L43" s="514"/>
      <c r="M43" s="514"/>
      <c r="N43" s="514"/>
      <c r="O43" s="514"/>
      <c r="P43" s="514"/>
      <c r="Q43" s="514"/>
      <c r="R43" s="514"/>
      <c r="S43" s="514"/>
      <c r="T43" s="80"/>
      <c r="U43" s="75"/>
      <c r="V43" s="70"/>
      <c r="W43" s="75"/>
      <c r="Y43" s="22"/>
      <c r="Z43" s="22"/>
      <c r="AA43" s="22"/>
    </row>
    <row r="44" spans="3:46" ht="45" customHeight="1">
      <c r="C44" s="513"/>
      <c r="D44" s="74"/>
      <c r="E44" s="73"/>
      <c r="F44" s="74"/>
      <c r="G44" s="77"/>
      <c r="H44" s="76"/>
      <c r="I44" s="73"/>
      <c r="J44" s="73"/>
      <c r="K44" s="72"/>
      <c r="L44" s="514"/>
      <c r="M44" s="514"/>
      <c r="N44" s="514"/>
      <c r="O44" s="514"/>
      <c r="P44" s="514"/>
      <c r="Q44" s="514"/>
      <c r="R44" s="514"/>
      <c r="S44" s="514"/>
      <c r="T44" s="79"/>
      <c r="U44" s="71"/>
      <c r="V44" s="70"/>
      <c r="W44" s="69"/>
      <c r="Y44" s="22"/>
      <c r="Z44" s="22"/>
      <c r="AA44" s="22"/>
    </row>
    <row r="45" spans="3:46" ht="45" customHeight="1">
      <c r="C45" s="513"/>
      <c r="D45" s="73"/>
      <c r="E45" s="73"/>
      <c r="F45" s="73"/>
      <c r="G45" s="73"/>
      <c r="H45" s="73"/>
      <c r="I45" s="73"/>
      <c r="J45" s="73"/>
      <c r="K45" s="75"/>
      <c r="L45" s="514"/>
      <c r="M45" s="514"/>
      <c r="N45" s="514"/>
      <c r="O45" s="514"/>
      <c r="P45" s="514"/>
      <c r="Q45" s="514"/>
      <c r="R45" s="514"/>
      <c r="S45" s="514"/>
      <c r="T45" s="79"/>
      <c r="U45" s="75"/>
      <c r="V45" s="70"/>
      <c r="W45" s="75"/>
      <c r="Y45" s="22"/>
      <c r="Z45" s="22"/>
      <c r="AA45" s="22"/>
    </row>
    <row r="46" spans="3:46" ht="45" customHeight="1">
      <c r="C46" s="513"/>
      <c r="D46" s="74"/>
      <c r="E46" s="74"/>
      <c r="F46" s="74"/>
      <c r="G46" s="74"/>
      <c r="H46" s="76"/>
      <c r="I46" s="73"/>
      <c r="J46" s="73"/>
      <c r="K46" s="72"/>
      <c r="L46" s="514"/>
      <c r="M46" s="514"/>
      <c r="N46" s="514"/>
      <c r="O46" s="514"/>
      <c r="P46" s="514"/>
      <c r="Q46" s="514"/>
      <c r="R46" s="514"/>
      <c r="S46" s="514"/>
      <c r="T46" s="70"/>
      <c r="U46" s="71"/>
      <c r="V46" s="70"/>
      <c r="W46" s="69"/>
      <c r="X46" s="512"/>
    </row>
    <row r="47" spans="3:46" ht="45" customHeight="1">
      <c r="C47" s="513"/>
      <c r="D47" s="73"/>
      <c r="E47" s="73"/>
      <c r="F47" s="73"/>
      <c r="G47" s="73"/>
      <c r="H47" s="73"/>
      <c r="I47" s="73"/>
      <c r="J47" s="73"/>
      <c r="K47" s="75"/>
      <c r="L47" s="514"/>
      <c r="M47" s="514"/>
      <c r="N47" s="514"/>
      <c r="O47" s="514"/>
      <c r="P47" s="514"/>
      <c r="Q47" s="514"/>
      <c r="R47" s="514"/>
      <c r="S47" s="514"/>
      <c r="T47" s="70"/>
      <c r="U47" s="75"/>
      <c r="V47" s="70"/>
      <c r="W47" s="75"/>
      <c r="X47" s="512"/>
    </row>
    <row r="48" spans="3:46" ht="45" customHeight="1">
      <c r="C48" s="513"/>
      <c r="D48" s="74"/>
      <c r="E48" s="74"/>
      <c r="F48" s="74"/>
      <c r="G48" s="74"/>
      <c r="H48" s="76"/>
      <c r="I48" s="73"/>
      <c r="J48" s="73"/>
      <c r="K48" s="72"/>
      <c r="L48" s="514"/>
      <c r="M48" s="514"/>
      <c r="N48" s="514"/>
      <c r="O48" s="514"/>
      <c r="P48" s="514"/>
      <c r="Q48" s="514"/>
      <c r="R48" s="514"/>
      <c r="S48" s="514"/>
      <c r="T48" s="70"/>
      <c r="U48" s="71"/>
      <c r="V48" s="70"/>
      <c r="W48" s="69"/>
      <c r="X48" s="512"/>
    </row>
    <row r="49" spans="3:24" ht="45" customHeight="1">
      <c r="C49" s="513"/>
      <c r="D49" s="73"/>
      <c r="E49" s="73"/>
      <c r="F49" s="73"/>
      <c r="G49" s="73"/>
      <c r="H49" s="73"/>
      <c r="I49" s="73"/>
      <c r="J49" s="73"/>
      <c r="K49" s="75"/>
      <c r="L49" s="514"/>
      <c r="M49" s="514"/>
      <c r="N49" s="514"/>
      <c r="O49" s="514"/>
      <c r="P49" s="514"/>
      <c r="Q49" s="514"/>
      <c r="R49" s="514"/>
      <c r="S49" s="514"/>
      <c r="T49" s="70"/>
      <c r="U49" s="75"/>
      <c r="V49" s="70"/>
      <c r="W49" s="75"/>
      <c r="X49" s="512"/>
    </row>
    <row r="50" spans="3:24" ht="45" customHeight="1">
      <c r="C50" s="513"/>
      <c r="D50" s="74"/>
      <c r="E50" s="74"/>
      <c r="F50" s="74"/>
      <c r="G50" s="77"/>
      <c r="H50" s="76"/>
      <c r="I50" s="73"/>
      <c r="J50" s="73"/>
      <c r="K50" s="72"/>
      <c r="L50" s="514"/>
      <c r="M50" s="514"/>
      <c r="N50" s="514"/>
      <c r="O50" s="514"/>
      <c r="P50" s="514"/>
      <c r="Q50" s="514"/>
      <c r="R50" s="514"/>
      <c r="S50" s="514"/>
      <c r="T50" s="70"/>
      <c r="U50" s="71"/>
      <c r="V50" s="70"/>
      <c r="W50" s="69"/>
      <c r="X50" s="512"/>
    </row>
    <row r="51" spans="3:24" ht="45" customHeight="1">
      <c r="C51" s="513"/>
      <c r="D51" s="73"/>
      <c r="E51" s="73"/>
      <c r="F51" s="73"/>
      <c r="G51" s="73"/>
      <c r="H51" s="73"/>
      <c r="I51" s="73"/>
      <c r="J51" s="73"/>
      <c r="K51" s="75"/>
      <c r="L51" s="514"/>
      <c r="M51" s="514"/>
      <c r="N51" s="514"/>
      <c r="O51" s="514"/>
      <c r="P51" s="514"/>
      <c r="Q51" s="514"/>
      <c r="R51" s="514"/>
      <c r="S51" s="514"/>
      <c r="T51" s="70"/>
      <c r="U51" s="75"/>
      <c r="V51" s="70"/>
      <c r="W51" s="75"/>
      <c r="X51" s="512"/>
    </row>
    <row r="52" spans="3:24" ht="45" customHeight="1">
      <c r="C52" s="513"/>
      <c r="D52" s="74"/>
      <c r="E52" s="74"/>
      <c r="F52" s="74"/>
      <c r="G52" s="74"/>
      <c r="H52" s="74"/>
      <c r="I52" s="73"/>
      <c r="J52" s="73"/>
      <c r="K52" s="72"/>
      <c r="L52" s="514"/>
      <c r="M52" s="514"/>
      <c r="N52" s="514"/>
      <c r="O52" s="514"/>
      <c r="P52" s="514"/>
      <c r="Q52" s="514"/>
      <c r="R52" s="514"/>
      <c r="S52" s="514"/>
      <c r="T52" s="70"/>
      <c r="U52" s="71"/>
      <c r="V52" s="70"/>
      <c r="W52" s="69"/>
      <c r="X52" s="512"/>
    </row>
  </sheetData>
  <sheetProtection algorithmName="SHA-512" hashValue="Ly2alDvNMxvye04tY9YV8a5FbU207rYYbKRTnGFfD84KJi7swF1mZKHowlBWkMsRJXoo+CUCosvjo3WzPU/skQ==" saltValue="tkM4vRcEY3Ld3wvA/OFUCw==" spinCount="100000" sheet="1" objects="1" scenarios="1"/>
  <protectedRanges>
    <protectedRange algorithmName="SHA-512" hashValue="zYecIPhrCOylVCLRChOCMNuO8udmVnDgHasvlrHw6+ul/Tc2T9aYYBE+PRTod6Zo/EeQvz/9UHw5ElwwYA+xkA==" saltValue="RLJQ7kO2K1LbThr9VSQZpw==" spinCount="100000" sqref="D40:E40 D42:E42" name="Condic_Precip"/>
    <protectedRange algorithmName="SHA-512" hashValue="/r1qI6/O6xMYahbso8mdc891jWdagJVeuNyGt6l2GzJA22nNxx87B/9fCl7ETjzLamn3PfpyeySr9WPB+Vs3Mw==" saltValue="JEORqHnTcd09VfkfRVbzIA==" spinCount="100000" sqref="X8:X12" name="Usos do Solo"/>
    <protectedRange algorithmName="SHA-512" hashValue="Vg7XQXu1plkFz98tl3LY5UU83Qoso1WeBFey7DFiKNhrJ3pCoe2PEgjUZ4AJ+V7IsAPcQmQp/Mc+8dJ4axR5dg==" saltValue="ZolWhvgmqazzPhi23WvcUw==" spinCount="100000" sqref="E8 G8" name="Indice Impermeabilidade_1"/>
    <protectedRange algorithmName="SHA-512" hashValue="Vg7XQXu1plkFz98tl3LY5UU83Qoso1WeBFey7DFiKNhrJ3pCoe2PEgjUZ4AJ+V7IsAPcQmQp/Mc+8dJ4axR5dg==" saltValue="ZolWhvgmqazzPhi23WvcUw==" spinCount="100000" sqref="C30" name="Indice Impermeabilidade_2"/>
  </protectedRanges>
  <mergeCells count="44">
    <mergeCell ref="D19:E19"/>
    <mergeCell ref="D25:E25"/>
    <mergeCell ref="D31:E31"/>
    <mergeCell ref="C21:F21"/>
    <mergeCell ref="C22:J22"/>
    <mergeCell ref="I27:J27"/>
    <mergeCell ref="I21:J21"/>
    <mergeCell ref="G19:J19"/>
    <mergeCell ref="G25:J25"/>
    <mergeCell ref="G31:J31"/>
    <mergeCell ref="X46:X52"/>
    <mergeCell ref="C47:C48"/>
    <mergeCell ref="L47:S48"/>
    <mergeCell ref="C49:C50"/>
    <mergeCell ref="L49:S50"/>
    <mergeCell ref="C51:C52"/>
    <mergeCell ref="L51:S52"/>
    <mergeCell ref="C45:C46"/>
    <mergeCell ref="L45:S46"/>
    <mergeCell ref="L41:S42"/>
    <mergeCell ref="L32:S32"/>
    <mergeCell ref="L33:S34"/>
    <mergeCell ref="L35:S36"/>
    <mergeCell ref="C43:C44"/>
    <mergeCell ref="L43:S44"/>
    <mergeCell ref="AD23:AL23"/>
    <mergeCell ref="C27:F27"/>
    <mergeCell ref="C28:J28"/>
    <mergeCell ref="L37:S38"/>
    <mergeCell ref="L39:S40"/>
    <mergeCell ref="D1:K1"/>
    <mergeCell ref="C6:J6"/>
    <mergeCell ref="C12:J12"/>
    <mergeCell ref="Z14:AH14"/>
    <mergeCell ref="X2:AL6"/>
    <mergeCell ref="Z13:AH13"/>
    <mergeCell ref="C2:D2"/>
    <mergeCell ref="C3:J3"/>
    <mergeCell ref="C5:F5"/>
    <mergeCell ref="C11:F11"/>
    <mergeCell ref="D9:E9"/>
    <mergeCell ref="G9:J9"/>
    <mergeCell ref="I11:J11"/>
    <mergeCell ref="I5:J5"/>
  </mergeCells>
  <dataValidations count="1">
    <dataValidation type="list" allowBlank="1" showInputMessage="1" showErrorMessage="1" sqref="D44">
      <formula1>$AB$39:$AB$44</formula1>
    </dataValidation>
  </dataValidations>
  <pageMargins left="0.25" right="0.25" top="0.75" bottom="0.75" header="0.3" footer="0.3"/>
  <pageSetup paperSize="9" scale="25"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Listas!$A$2:$A$8</xm:f>
          </x14:formula1>
          <xm:sqref>C14 C16 C18</xm:sqref>
        </x14:dataValidation>
        <x14:dataValidation type="list" allowBlank="1" showInputMessage="1" showErrorMessage="1">
          <x14:formula1>
            <xm:f>Listas!$A$11:$A$12</xm:f>
          </x14:formula1>
          <xm:sqref>J14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pageSetUpPr fitToPage="1"/>
  </sheetPr>
  <dimension ref="B1:AQ39"/>
  <sheetViews>
    <sheetView showGridLines="0" zoomScale="85" zoomScaleNormal="85" workbookViewId="0">
      <selection activeCell="E10" sqref="E10:F10"/>
    </sheetView>
  </sheetViews>
  <sheetFormatPr defaultColWidth="8.81640625" defaultRowHeight="13"/>
  <cols>
    <col min="1" max="1" width="2.81640625" style="16" customWidth="1"/>
    <col min="2" max="2" width="4.1796875" style="16" customWidth="1"/>
    <col min="3" max="3" width="28.26953125" style="17" customWidth="1"/>
    <col min="4" max="6" width="20.36328125" style="18" customWidth="1"/>
    <col min="7" max="7" width="23.6328125" style="280" customWidth="1"/>
    <col min="8" max="8" width="4.36328125" style="280" customWidth="1"/>
    <col min="9" max="14" width="12.6328125" style="20" customWidth="1"/>
    <col min="15" max="15" width="10" style="20" hidden="1" customWidth="1"/>
    <col min="16" max="16" width="13.6328125" style="21" customWidth="1"/>
    <col min="17" max="17" width="0.81640625" style="22" customWidth="1"/>
    <col min="18" max="18" width="14.54296875" style="16" customWidth="1"/>
    <col min="19" max="19" width="2.6328125" style="22" customWidth="1"/>
    <col min="20" max="20" width="12.6328125" style="22" customWidth="1"/>
    <col min="21" max="21" width="32.54296875" style="22" customWidth="1"/>
    <col min="22" max="22" width="9.6328125" style="24" customWidth="1"/>
    <col min="23" max="24" width="9.6328125" style="16" customWidth="1"/>
    <col min="25" max="25" width="1" style="22" customWidth="1"/>
    <col min="26" max="29" width="10.453125" style="22" customWidth="1"/>
    <col min="30" max="30" width="19" style="16" customWidth="1"/>
    <col min="31" max="31" width="14.453125" style="22" customWidth="1"/>
    <col min="32" max="35" width="19" style="16" customWidth="1"/>
    <col min="36" max="36" width="57.453125" style="16" bestFit="1" customWidth="1"/>
    <col min="37" max="37" width="57.453125" style="16" customWidth="1"/>
    <col min="38" max="38" width="18" style="16" bestFit="1" customWidth="1"/>
    <col min="39" max="39" width="12.81640625" style="16" bestFit="1" customWidth="1"/>
    <col min="40" max="40" width="8.453125" style="16" bestFit="1" customWidth="1"/>
    <col min="41" max="41" width="19" style="16" customWidth="1"/>
    <col min="42" max="42" width="17.81640625" style="16" customWidth="1"/>
    <col min="43" max="43" width="18.453125" style="16" customWidth="1"/>
    <col min="44" max="16384" width="8.81640625" style="16"/>
  </cols>
  <sheetData>
    <row r="1" spans="2:36" ht="85" customHeight="1">
      <c r="B1" s="287"/>
      <c r="C1" s="288"/>
      <c r="D1" s="517"/>
      <c r="E1" s="517"/>
      <c r="F1" s="517"/>
      <c r="G1" s="517"/>
      <c r="H1" s="517"/>
      <c r="P1" s="20"/>
      <c r="Q1" s="20"/>
      <c r="R1" s="20"/>
    </row>
    <row r="2" spans="2:36" ht="30">
      <c r="B2" s="289"/>
      <c r="C2" s="722" t="s">
        <v>1106</v>
      </c>
      <c r="D2" s="722"/>
      <c r="E2" s="290"/>
      <c r="F2" s="290"/>
      <c r="G2" s="290"/>
      <c r="H2" s="291"/>
      <c r="I2" s="16"/>
      <c r="J2" s="16"/>
      <c r="K2" s="16"/>
      <c r="L2" s="16"/>
      <c r="M2" s="16"/>
      <c r="N2" s="16"/>
      <c r="O2" s="16"/>
      <c r="P2" s="20"/>
      <c r="Q2" s="20"/>
      <c r="R2" s="20"/>
      <c r="U2" s="682"/>
      <c r="V2" s="682"/>
      <c r="W2" s="682"/>
      <c r="X2" s="682"/>
      <c r="Y2" s="682"/>
      <c r="Z2" s="682"/>
      <c r="AA2" s="682"/>
      <c r="AB2" s="682"/>
      <c r="AC2" s="682"/>
      <c r="AD2" s="682"/>
      <c r="AE2" s="682"/>
      <c r="AF2" s="682"/>
      <c r="AG2" s="682"/>
      <c r="AH2" s="682"/>
      <c r="AI2" s="682"/>
      <c r="AJ2" s="25"/>
    </row>
    <row r="3" spans="2:36" ht="30.5" thickBot="1">
      <c r="B3" s="289"/>
      <c r="C3" s="683"/>
      <c r="D3" s="683"/>
      <c r="E3" s="683"/>
      <c r="F3" s="683"/>
      <c r="G3" s="683"/>
      <c r="H3" s="683"/>
      <c r="P3" s="20"/>
      <c r="Q3" s="20"/>
      <c r="R3" s="20"/>
      <c r="T3" s="16"/>
      <c r="U3" s="682"/>
      <c r="V3" s="682"/>
      <c r="W3" s="682"/>
      <c r="X3" s="682"/>
      <c r="Y3" s="682"/>
      <c r="Z3" s="682"/>
      <c r="AA3" s="682"/>
      <c r="AB3" s="682"/>
      <c r="AC3" s="682"/>
      <c r="AD3" s="682"/>
      <c r="AE3" s="682"/>
      <c r="AF3" s="682"/>
      <c r="AG3" s="682"/>
      <c r="AH3" s="682"/>
      <c r="AI3" s="682"/>
      <c r="AJ3" s="25"/>
    </row>
    <row r="4" spans="2:36" ht="50.5" thickBot="1">
      <c r="B4" s="292"/>
      <c r="C4" s="293" t="s">
        <v>1146</v>
      </c>
      <c r="D4" s="294">
        <f>'4. Economia Circular + Carbono'!G2*'4. Economia Circular + Carbono'!I2+'3. Água + Drenagem Sustentáv'!F2*'3. Água + Drenagem Sustentáv'!I2+'2. Biodiversidade + I. Verde'!G2*'2. Biodiversidade + I. Verde'!I2+'1. Energia'!G2*'1. Energia'!I2</f>
        <v>7.6009615384615383</v>
      </c>
      <c r="E4" s="295"/>
      <c r="F4" s="293" t="s">
        <v>1030</v>
      </c>
      <c r="G4" s="296" t="str">
        <f>IF(AND(ROUND(D4,4)&gt;=2.5,ROUND(D4,4)&lt;5),"INTELIGENTE",IF(AND(ROUND(D4,4)&gt;=5,ROUND(D4,4)&lt;7.5),"EXEMPLAR",IF(AND(ROUND(D4,4)&gt;=7.5,ROUND(D4,4)&lt;9),"LÍDER",IF(AND(ROUND(D4,4)&gt;=9,ROUND(D4,4)&lt;=10),"INVICTA","NÃO CLASSIFICADO"))))</f>
        <v>LÍDER</v>
      </c>
      <c r="H4" s="297"/>
      <c r="P4" s="20"/>
      <c r="Q4" s="20"/>
      <c r="R4" s="20"/>
      <c r="U4" s="682"/>
      <c r="V4" s="682"/>
      <c r="W4" s="682"/>
      <c r="X4" s="682"/>
      <c r="Y4" s="682"/>
      <c r="Z4" s="682"/>
      <c r="AA4" s="682"/>
      <c r="AB4" s="682"/>
      <c r="AC4" s="682"/>
      <c r="AD4" s="682"/>
      <c r="AE4" s="682"/>
      <c r="AF4" s="682"/>
      <c r="AG4" s="682"/>
      <c r="AH4" s="682"/>
      <c r="AI4" s="682"/>
      <c r="AJ4" s="25"/>
    </row>
    <row r="5" spans="2:36" ht="14.5" thickBot="1">
      <c r="B5" s="292"/>
      <c r="C5" s="297"/>
      <c r="D5" s="297"/>
      <c r="E5" s="297"/>
      <c r="F5" s="297"/>
      <c r="G5" s="297"/>
      <c r="H5" s="297"/>
      <c r="P5" s="20"/>
      <c r="Q5" s="20"/>
      <c r="R5" s="20"/>
      <c r="S5" s="16"/>
      <c r="T5" s="16"/>
      <c r="U5" s="682"/>
      <c r="V5" s="682"/>
      <c r="W5" s="682"/>
      <c r="X5" s="682"/>
      <c r="Y5" s="682"/>
      <c r="Z5" s="682"/>
      <c r="AA5" s="682"/>
      <c r="AB5" s="682"/>
      <c r="AC5" s="682"/>
      <c r="AD5" s="682"/>
      <c r="AE5" s="682"/>
      <c r="AF5" s="682"/>
      <c r="AG5" s="682"/>
      <c r="AH5" s="682"/>
      <c r="AI5" s="682"/>
      <c r="AJ5" s="25"/>
    </row>
    <row r="6" spans="2:36" ht="54.5" thickBot="1">
      <c r="B6" s="292"/>
      <c r="C6" s="298" t="s">
        <v>1381</v>
      </c>
      <c r="D6" s="299">
        <f>IF(D4&lt;2.5,0,Listas!$E$18*D4+Listas!$E$19)</f>
        <v>0.38004807692307696</v>
      </c>
      <c r="E6" s="297"/>
      <c r="F6" s="297"/>
      <c r="G6" s="297"/>
      <c r="H6" s="297"/>
      <c r="P6" s="20"/>
      <c r="Q6" s="20"/>
      <c r="R6" s="20"/>
      <c r="S6" s="16"/>
      <c r="T6" s="16"/>
      <c r="U6" s="281"/>
      <c r="V6" s="281"/>
      <c r="W6" s="281"/>
      <c r="X6" s="281"/>
      <c r="Y6" s="281"/>
      <c r="Z6" s="281"/>
      <c r="AA6" s="281"/>
      <c r="AB6" s="281"/>
      <c r="AC6" s="281"/>
      <c r="AD6" s="281"/>
      <c r="AE6" s="281"/>
      <c r="AF6" s="281"/>
      <c r="AG6" s="281"/>
      <c r="AH6" s="281"/>
      <c r="AI6" s="281"/>
      <c r="AJ6" s="25"/>
    </row>
    <row r="7" spans="2:36" ht="14">
      <c r="B7" s="292"/>
      <c r="C7" s="297"/>
      <c r="D7" s="297"/>
      <c r="E7" s="297"/>
      <c r="F7" s="297"/>
      <c r="G7" s="297"/>
      <c r="H7" s="297"/>
      <c r="P7" s="20"/>
      <c r="Q7" s="20"/>
      <c r="R7" s="20"/>
      <c r="S7" s="16"/>
      <c r="T7" s="16"/>
      <c r="U7" s="16"/>
      <c r="V7" s="25"/>
      <c r="X7" s="25"/>
      <c r="Y7" s="25"/>
      <c r="Z7" s="25"/>
      <c r="AA7" s="25"/>
      <c r="AB7" s="25"/>
      <c r="AC7" s="25"/>
      <c r="AD7" s="25"/>
      <c r="AE7" s="25"/>
      <c r="AF7" s="25"/>
      <c r="AG7" s="25"/>
      <c r="AH7" s="25"/>
      <c r="AI7" s="25"/>
      <c r="AJ7" s="25"/>
    </row>
    <row r="8" spans="2:36" ht="14">
      <c r="B8" s="292"/>
      <c r="C8" s="297"/>
      <c r="D8" s="297"/>
      <c r="E8" s="297"/>
      <c r="F8" s="297"/>
      <c r="G8" s="297"/>
      <c r="H8" s="297"/>
      <c r="P8" s="20"/>
      <c r="Q8" s="20"/>
      <c r="R8" s="20"/>
      <c r="S8" s="16"/>
      <c r="T8" s="16"/>
      <c r="U8" s="16"/>
      <c r="V8" s="25"/>
      <c r="X8" s="25"/>
      <c r="Y8" s="25"/>
      <c r="Z8" s="25"/>
      <c r="AA8" s="25"/>
      <c r="AB8" s="25"/>
      <c r="AC8" s="25"/>
      <c r="AD8" s="25"/>
      <c r="AE8" s="25"/>
      <c r="AF8" s="25"/>
      <c r="AG8" s="25"/>
      <c r="AH8" s="25"/>
      <c r="AI8" s="25"/>
    </row>
    <row r="9" spans="2:36" ht="40" customHeight="1">
      <c r="B9" s="292"/>
      <c r="C9" s="713" t="s">
        <v>1148</v>
      </c>
      <c r="D9" s="713"/>
      <c r="E9" s="713"/>
      <c r="F9" s="297"/>
      <c r="G9" s="297"/>
      <c r="H9" s="297"/>
      <c r="P9" s="20"/>
      <c r="Q9" s="20"/>
      <c r="R9" s="20"/>
      <c r="S9" s="16"/>
      <c r="T9" s="16"/>
      <c r="U9" s="16"/>
      <c r="V9" s="25"/>
      <c r="X9" s="25"/>
      <c r="Y9" s="25"/>
      <c r="Z9" s="25"/>
      <c r="AA9" s="25"/>
      <c r="AB9" s="25"/>
      <c r="AC9" s="25"/>
      <c r="AD9" s="25"/>
      <c r="AE9" s="25"/>
      <c r="AF9" s="25"/>
      <c r="AG9" s="25"/>
      <c r="AH9" s="25"/>
      <c r="AI9" s="25"/>
    </row>
    <row r="10" spans="2:36" ht="23">
      <c r="B10" s="292"/>
      <c r="C10" s="715" t="s">
        <v>1070</v>
      </c>
      <c r="D10" s="715"/>
      <c r="E10" s="718" t="str">
        <f>TEXT('1. Energia'!I2,"0,00")&amp;" / 10,00"</f>
        <v>7,50 / 10,00</v>
      </c>
      <c r="F10" s="718"/>
      <c r="G10" s="297"/>
      <c r="H10" s="297"/>
      <c r="P10" s="20"/>
      <c r="Q10" s="20"/>
      <c r="R10" s="20"/>
      <c r="U10" s="25"/>
      <c r="V10" s="25"/>
      <c r="W10" s="680"/>
      <c r="X10" s="680"/>
      <c r="Y10" s="680"/>
      <c r="Z10" s="680"/>
      <c r="AA10" s="680"/>
      <c r="AB10" s="680"/>
      <c r="AC10" s="680"/>
      <c r="AD10" s="680"/>
      <c r="AE10" s="680"/>
      <c r="AF10" s="25"/>
      <c r="AG10" s="25"/>
      <c r="AH10" s="25"/>
      <c r="AI10" s="25"/>
    </row>
    <row r="11" spans="2:36" ht="14">
      <c r="B11" s="292"/>
      <c r="C11" s="683" t="s">
        <v>1149</v>
      </c>
      <c r="D11" s="683"/>
      <c r="E11" s="683"/>
      <c r="F11" s="683"/>
      <c r="G11" s="683"/>
      <c r="H11" s="297"/>
      <c r="P11" s="20"/>
      <c r="Q11" s="20"/>
      <c r="R11" s="20"/>
      <c r="U11" s="25"/>
      <c r="V11" s="25"/>
      <c r="W11" s="680"/>
      <c r="X11" s="680"/>
      <c r="Y11" s="680"/>
      <c r="Z11" s="680"/>
      <c r="AA11" s="680"/>
      <c r="AB11" s="680"/>
      <c r="AC11" s="680"/>
      <c r="AD11" s="680"/>
      <c r="AE11" s="680"/>
      <c r="AF11" s="25"/>
      <c r="AG11" s="25"/>
      <c r="AH11" s="25"/>
      <c r="AI11" s="25"/>
    </row>
    <row r="12" spans="2:36" ht="14">
      <c r="B12" s="292"/>
      <c r="C12" s="297"/>
      <c r="D12" s="297"/>
      <c r="E12" s="297"/>
      <c r="F12" s="297"/>
      <c r="G12" s="297"/>
      <c r="H12" s="297"/>
      <c r="P12" s="20"/>
      <c r="Q12" s="20"/>
      <c r="R12" s="20"/>
      <c r="U12" s="25"/>
      <c r="V12" s="25"/>
      <c r="W12" s="280"/>
      <c r="X12" s="280"/>
      <c r="Y12" s="280"/>
      <c r="Z12" s="280"/>
      <c r="AA12" s="280"/>
      <c r="AB12" s="280"/>
      <c r="AC12" s="280"/>
      <c r="AD12" s="280"/>
      <c r="AE12" s="280"/>
      <c r="AF12" s="25"/>
      <c r="AG12" s="25"/>
      <c r="AH12" s="25"/>
      <c r="AI12" s="25"/>
    </row>
    <row r="13" spans="2:36" ht="23">
      <c r="B13" s="292"/>
      <c r="C13" s="714" t="s">
        <v>1150</v>
      </c>
      <c r="D13" s="714"/>
      <c r="E13" s="719" t="str">
        <f>TEXT('2. Biodiversidade + I. Verde'!I2,"0,00")&amp;" / 10,00"</f>
        <v>10,00 / 10,00</v>
      </c>
      <c r="F13" s="719"/>
      <c r="G13" s="297"/>
      <c r="H13" s="297"/>
      <c r="P13" s="20"/>
      <c r="Q13" s="20"/>
      <c r="R13" s="20"/>
      <c r="U13" s="25"/>
      <c r="V13" s="25"/>
      <c r="W13" s="280"/>
      <c r="X13" s="280"/>
      <c r="Y13" s="280"/>
      <c r="Z13" s="280"/>
      <c r="AA13" s="280"/>
      <c r="AB13" s="280"/>
      <c r="AC13" s="280"/>
      <c r="AD13" s="280"/>
      <c r="AE13" s="280"/>
      <c r="AF13" s="25"/>
      <c r="AG13" s="25"/>
      <c r="AH13" s="25"/>
      <c r="AI13" s="25"/>
    </row>
    <row r="14" spans="2:36" ht="44.5" customHeight="1">
      <c r="B14" s="292"/>
      <c r="C14" s="683" t="s">
        <v>1151</v>
      </c>
      <c r="D14" s="683"/>
      <c r="E14" s="683"/>
      <c r="F14" s="683"/>
      <c r="G14" s="683"/>
      <c r="H14" s="297"/>
      <c r="P14" s="20"/>
      <c r="Q14" s="20"/>
      <c r="R14" s="20"/>
      <c r="U14" s="25"/>
      <c r="V14" s="25"/>
      <c r="W14" s="280"/>
      <c r="X14" s="280"/>
      <c r="Y14" s="280"/>
      <c r="Z14" s="280"/>
      <c r="AA14" s="280"/>
      <c r="AB14" s="280"/>
      <c r="AC14" s="280"/>
      <c r="AD14" s="280"/>
      <c r="AE14" s="280"/>
      <c r="AF14" s="25"/>
      <c r="AG14" s="25"/>
      <c r="AH14" s="25"/>
      <c r="AI14" s="25"/>
    </row>
    <row r="15" spans="2:36" ht="14">
      <c r="B15" s="292"/>
      <c r="C15" s="297"/>
      <c r="D15" s="297"/>
      <c r="E15" s="297"/>
      <c r="F15" s="297"/>
      <c r="G15" s="297"/>
      <c r="H15" s="297"/>
      <c r="P15" s="20"/>
      <c r="Q15" s="20"/>
      <c r="R15" s="20"/>
      <c r="U15" s="25"/>
      <c r="V15" s="25"/>
      <c r="W15" s="280"/>
      <c r="X15" s="280"/>
      <c r="Y15" s="280"/>
      <c r="Z15" s="280"/>
      <c r="AA15" s="280"/>
      <c r="AB15" s="280"/>
      <c r="AC15" s="280"/>
      <c r="AD15" s="280"/>
      <c r="AE15" s="280"/>
      <c r="AF15" s="25"/>
      <c r="AG15" s="25"/>
      <c r="AH15" s="25"/>
      <c r="AI15" s="25"/>
    </row>
    <row r="16" spans="2:36" ht="23">
      <c r="B16" s="292"/>
      <c r="C16" s="716" t="s">
        <v>1120</v>
      </c>
      <c r="D16" s="716"/>
      <c r="E16" s="720" t="str">
        <f>TEXT('3. Água + Drenagem Sustentáv'!I2,"0,00")&amp;" /10,00"</f>
        <v>7,50 /10,00</v>
      </c>
      <c r="F16" s="720"/>
      <c r="G16" s="297"/>
      <c r="H16" s="297"/>
      <c r="P16" s="20"/>
      <c r="Q16" s="20"/>
      <c r="R16" s="20"/>
      <c r="U16" s="25"/>
      <c r="V16" s="25"/>
      <c r="W16" s="280"/>
      <c r="X16" s="280"/>
      <c r="Y16" s="280"/>
      <c r="Z16" s="280"/>
      <c r="AA16" s="280"/>
      <c r="AB16" s="280"/>
      <c r="AC16" s="280"/>
      <c r="AD16" s="280"/>
      <c r="AE16" s="280"/>
      <c r="AF16" s="25"/>
      <c r="AG16" s="25"/>
      <c r="AH16" s="25"/>
      <c r="AI16" s="25"/>
    </row>
    <row r="17" spans="2:43" ht="14">
      <c r="B17" s="292"/>
      <c r="C17" s="683" t="s">
        <v>1149</v>
      </c>
      <c r="D17" s="683"/>
      <c r="E17" s="683"/>
      <c r="F17" s="683"/>
      <c r="G17" s="683"/>
      <c r="H17" s="297"/>
      <c r="P17" s="20"/>
      <c r="Q17" s="20"/>
      <c r="R17" s="20"/>
      <c r="U17" s="25"/>
      <c r="V17" s="25"/>
      <c r="W17" s="280"/>
      <c r="X17" s="280"/>
      <c r="Y17" s="280"/>
      <c r="Z17" s="280"/>
      <c r="AA17" s="280"/>
      <c r="AB17" s="280"/>
      <c r="AC17" s="280"/>
      <c r="AD17" s="280"/>
      <c r="AE17" s="280"/>
      <c r="AF17" s="25"/>
      <c r="AG17" s="25"/>
      <c r="AH17" s="25"/>
      <c r="AI17" s="25"/>
    </row>
    <row r="18" spans="2:43" ht="14">
      <c r="B18" s="292"/>
      <c r="C18" s="297"/>
      <c r="D18" s="297"/>
      <c r="E18" s="297"/>
      <c r="F18" s="297"/>
      <c r="G18" s="297"/>
      <c r="H18" s="297"/>
      <c r="P18" s="20"/>
      <c r="Q18" s="20"/>
      <c r="R18" s="20"/>
      <c r="U18" s="25"/>
      <c r="V18" s="25"/>
      <c r="W18" s="280"/>
      <c r="X18" s="280"/>
      <c r="Y18" s="280"/>
      <c r="Z18" s="280"/>
      <c r="AA18" s="280"/>
      <c r="AB18" s="280"/>
      <c r="AC18" s="280"/>
      <c r="AD18" s="280"/>
      <c r="AE18" s="280"/>
      <c r="AF18" s="25"/>
      <c r="AG18" s="25"/>
      <c r="AH18" s="25"/>
      <c r="AI18" s="25"/>
    </row>
    <row r="19" spans="2:43" ht="23">
      <c r="B19" s="292"/>
      <c r="C19" s="717" t="s">
        <v>1152</v>
      </c>
      <c r="D19" s="717"/>
      <c r="E19" s="721" t="str">
        <f>TEXT('4. Economia Circular + Carbono'!I2,"0,00")&amp;" / 10,00"</f>
        <v>5,40 / 10,00</v>
      </c>
      <c r="F19" s="721"/>
      <c r="G19" s="297"/>
      <c r="H19" s="297"/>
      <c r="P19" s="20"/>
      <c r="Q19" s="20"/>
      <c r="R19" s="20"/>
      <c r="U19" s="25"/>
      <c r="V19" s="25"/>
      <c r="W19" s="280"/>
      <c r="X19" s="280"/>
      <c r="Y19" s="280"/>
      <c r="Z19" s="280"/>
      <c r="AA19" s="280"/>
      <c r="AB19" s="280"/>
      <c r="AC19" s="280"/>
      <c r="AD19" s="280"/>
      <c r="AE19" s="280"/>
      <c r="AF19" s="25"/>
      <c r="AG19" s="25"/>
      <c r="AH19" s="25"/>
      <c r="AI19" s="25"/>
    </row>
    <row r="20" spans="2:43" ht="14">
      <c r="B20" s="292"/>
      <c r="C20" s="683" t="s">
        <v>1153</v>
      </c>
      <c r="D20" s="683"/>
      <c r="E20" s="683"/>
      <c r="F20" s="683"/>
      <c r="G20" s="683"/>
      <c r="H20" s="297"/>
      <c r="P20" s="20"/>
      <c r="Q20" s="20"/>
      <c r="R20" s="20"/>
      <c r="U20" s="25"/>
      <c r="V20" s="25"/>
      <c r="W20" s="280"/>
      <c r="X20" s="280"/>
      <c r="Y20" s="280"/>
      <c r="Z20" s="280"/>
      <c r="AA20" s="280"/>
      <c r="AB20" s="280"/>
      <c r="AC20" s="280"/>
      <c r="AD20" s="280"/>
      <c r="AE20" s="280"/>
      <c r="AF20" s="25"/>
      <c r="AG20" s="25"/>
      <c r="AH20" s="25"/>
      <c r="AI20" s="25"/>
    </row>
    <row r="21" spans="2:43" ht="14">
      <c r="B21" s="292"/>
      <c r="C21" s="297"/>
      <c r="D21" s="297"/>
      <c r="E21" s="297"/>
      <c r="F21" s="297"/>
      <c r="G21" s="297"/>
      <c r="H21" s="297"/>
      <c r="P21" s="20"/>
      <c r="Q21" s="20"/>
      <c r="R21" s="20"/>
      <c r="U21" s="25"/>
      <c r="V21" s="25"/>
      <c r="W21" s="280"/>
      <c r="X21" s="280"/>
      <c r="Y21" s="280"/>
      <c r="Z21" s="280"/>
      <c r="AA21" s="280"/>
      <c r="AB21" s="280"/>
      <c r="AC21" s="280"/>
      <c r="AD21" s="280"/>
      <c r="AE21" s="280"/>
      <c r="AF21" s="25"/>
      <c r="AG21" s="25"/>
      <c r="AH21" s="25"/>
      <c r="AI21" s="25"/>
    </row>
    <row r="22" spans="2:43">
      <c r="C22" s="279"/>
      <c r="D22" s="279"/>
      <c r="E22" s="279"/>
      <c r="F22" s="279"/>
      <c r="G22" s="74"/>
      <c r="H22" s="74"/>
      <c r="I22" s="513"/>
      <c r="J22" s="513"/>
      <c r="K22" s="513"/>
      <c r="L22" s="513"/>
      <c r="M22" s="513"/>
      <c r="N22" s="513"/>
      <c r="O22" s="513"/>
      <c r="P22" s="513"/>
      <c r="Q22" s="79"/>
      <c r="R22" s="75"/>
      <c r="S22" s="70"/>
      <c r="T22" s="75"/>
      <c r="U22" s="512"/>
      <c r="W22" s="512"/>
      <c r="X22" s="512"/>
      <c r="Y22" s="512"/>
      <c r="Z22" s="512"/>
      <c r="AA22" s="282"/>
      <c r="AB22" s="282"/>
      <c r="AC22" s="282"/>
      <c r="AO22" s="22"/>
      <c r="AP22" s="39"/>
      <c r="AQ22" s="22"/>
    </row>
    <row r="23" spans="2:43" ht="12.5">
      <c r="C23" s="279"/>
      <c r="D23" s="279"/>
      <c r="E23" s="279"/>
      <c r="F23" s="279"/>
      <c r="G23" s="74"/>
      <c r="H23" s="74"/>
      <c r="I23" s="513"/>
      <c r="J23" s="513"/>
      <c r="K23" s="513"/>
      <c r="L23" s="513"/>
      <c r="M23" s="513"/>
      <c r="N23" s="513"/>
      <c r="O23" s="513"/>
      <c r="P23" s="513"/>
      <c r="Q23" s="79"/>
      <c r="R23" s="283"/>
      <c r="S23" s="70"/>
      <c r="T23" s="69"/>
      <c r="U23" s="512"/>
      <c r="W23" s="512"/>
      <c r="X23" s="512"/>
      <c r="Y23" s="512"/>
      <c r="Z23" s="512"/>
      <c r="AA23" s="282"/>
      <c r="AB23" s="282"/>
      <c r="AC23" s="282"/>
      <c r="AO23" s="22"/>
      <c r="AP23" s="39"/>
      <c r="AQ23" s="22"/>
    </row>
    <row r="24" spans="2:43" ht="15.5">
      <c r="C24" s="279"/>
      <c r="D24" s="279"/>
      <c r="E24" s="279"/>
      <c r="F24" s="279"/>
      <c r="G24" s="279"/>
      <c r="H24" s="87"/>
      <c r="I24" s="514"/>
      <c r="J24" s="514"/>
      <c r="K24" s="514"/>
      <c r="L24" s="514"/>
      <c r="M24" s="514"/>
      <c r="N24" s="514"/>
      <c r="O24" s="514"/>
      <c r="P24" s="514"/>
      <c r="Q24" s="79"/>
      <c r="R24" s="75"/>
      <c r="S24" s="70"/>
      <c r="T24" s="75"/>
      <c r="U24" s="86"/>
      <c r="W24" s="512"/>
      <c r="X24" s="512"/>
      <c r="Y24" s="512"/>
      <c r="Z24" s="512"/>
      <c r="AA24" s="282"/>
      <c r="AB24" s="282"/>
      <c r="AC24" s="282"/>
      <c r="AO24" s="22"/>
      <c r="AP24" s="39"/>
      <c r="AQ24" s="22"/>
    </row>
    <row r="25" spans="2:43" ht="12.5">
      <c r="C25" s="279"/>
      <c r="D25" s="279"/>
      <c r="E25" s="279"/>
      <c r="F25" s="279"/>
      <c r="G25" s="85"/>
      <c r="H25" s="74"/>
      <c r="I25" s="514"/>
      <c r="J25" s="514"/>
      <c r="K25" s="514"/>
      <c r="L25" s="514"/>
      <c r="M25" s="514"/>
      <c r="N25" s="514"/>
      <c r="O25" s="514"/>
      <c r="P25" s="514"/>
      <c r="Q25" s="79"/>
      <c r="R25" s="283"/>
      <c r="S25" s="70"/>
      <c r="T25" s="69"/>
      <c r="U25" s="512"/>
      <c r="W25" s="512"/>
      <c r="X25" s="512"/>
      <c r="Y25" s="512"/>
      <c r="Z25" s="512"/>
      <c r="AA25" s="282"/>
      <c r="AB25" s="282"/>
      <c r="AC25" s="282"/>
      <c r="AO25" s="22"/>
      <c r="AP25" s="39"/>
      <c r="AQ25" s="22"/>
    </row>
    <row r="26" spans="2:43">
      <c r="C26" s="279"/>
      <c r="D26" s="279"/>
      <c r="E26" s="279"/>
      <c r="F26" s="279"/>
      <c r="G26" s="279"/>
      <c r="H26" s="279"/>
      <c r="I26" s="514"/>
      <c r="J26" s="514"/>
      <c r="K26" s="514"/>
      <c r="L26" s="514"/>
      <c r="M26" s="514"/>
      <c r="N26" s="514"/>
      <c r="O26" s="514"/>
      <c r="P26" s="514"/>
      <c r="Q26" s="70"/>
      <c r="R26" s="75"/>
      <c r="S26" s="70"/>
      <c r="T26" s="75"/>
      <c r="U26" s="512"/>
      <c r="W26" s="512"/>
      <c r="X26" s="512"/>
      <c r="Y26" s="512"/>
      <c r="Z26" s="512"/>
      <c r="AB26" s="16"/>
      <c r="AC26" s="16"/>
      <c r="AE26" s="16"/>
    </row>
    <row r="27" spans="2:43">
      <c r="C27" s="279"/>
      <c r="D27" s="279"/>
      <c r="E27" s="279"/>
      <c r="F27" s="279"/>
      <c r="G27" s="284"/>
      <c r="H27" s="84"/>
      <c r="I27" s="514"/>
      <c r="J27" s="514"/>
      <c r="K27" s="514"/>
      <c r="L27" s="514"/>
      <c r="M27" s="514"/>
      <c r="N27" s="514"/>
      <c r="O27" s="514"/>
      <c r="P27" s="514"/>
      <c r="Q27" s="70"/>
      <c r="R27" s="283"/>
      <c r="S27" s="70"/>
      <c r="T27" s="69"/>
      <c r="U27" s="512"/>
      <c r="W27" s="512"/>
      <c r="X27" s="512"/>
      <c r="Y27" s="512"/>
      <c r="Z27" s="512"/>
      <c r="AA27" s="171"/>
      <c r="AB27" s="16"/>
      <c r="AC27" s="16"/>
      <c r="AE27" s="16"/>
    </row>
    <row r="28" spans="2:43">
      <c r="C28" s="279"/>
      <c r="D28" s="279"/>
      <c r="E28" s="279"/>
      <c r="F28" s="279"/>
      <c r="G28" s="279"/>
      <c r="H28" s="279"/>
      <c r="I28" s="514"/>
      <c r="J28" s="514"/>
      <c r="K28" s="514"/>
      <c r="L28" s="514"/>
      <c r="M28" s="514"/>
      <c r="N28" s="514"/>
      <c r="O28" s="514"/>
      <c r="P28" s="514"/>
      <c r="Q28" s="83"/>
      <c r="R28" s="75"/>
      <c r="S28" s="70"/>
      <c r="T28" s="75"/>
      <c r="U28" s="512"/>
      <c r="W28" s="512"/>
      <c r="X28" s="512"/>
      <c r="Y28" s="512"/>
      <c r="Z28" s="512"/>
      <c r="AA28" s="16"/>
      <c r="AB28" s="16"/>
      <c r="AC28" s="16"/>
      <c r="AE28" s="16"/>
    </row>
    <row r="29" spans="2:43" ht="12.5">
      <c r="C29" s="279"/>
      <c r="D29" s="279"/>
      <c r="E29" s="279"/>
      <c r="F29" s="279"/>
      <c r="G29" s="82"/>
      <c r="H29" s="285"/>
      <c r="I29" s="514"/>
      <c r="J29" s="514"/>
      <c r="K29" s="514"/>
      <c r="L29" s="514"/>
      <c r="M29" s="514"/>
      <c r="N29" s="514"/>
      <c r="O29" s="514"/>
      <c r="P29" s="514"/>
      <c r="Q29" s="70"/>
      <c r="R29" s="283"/>
      <c r="S29" s="70"/>
      <c r="T29" s="69"/>
      <c r="U29" s="512"/>
      <c r="W29" s="512"/>
      <c r="X29" s="512"/>
      <c r="Y29" s="512"/>
      <c r="Z29" s="512"/>
      <c r="AB29" s="16"/>
      <c r="AE29" s="16"/>
    </row>
    <row r="30" spans="2:43">
      <c r="C30" s="513"/>
      <c r="D30" s="279"/>
      <c r="E30" s="279"/>
      <c r="F30" s="279"/>
      <c r="G30" s="279"/>
      <c r="H30" s="279"/>
      <c r="I30" s="514"/>
      <c r="J30" s="514"/>
      <c r="K30" s="514"/>
      <c r="L30" s="514"/>
      <c r="M30" s="514"/>
      <c r="N30" s="514"/>
      <c r="O30" s="514"/>
      <c r="P30" s="514"/>
      <c r="Q30" s="80"/>
      <c r="R30" s="75"/>
      <c r="S30" s="70"/>
      <c r="T30" s="75"/>
      <c r="U30" s="512"/>
      <c r="W30" s="512"/>
      <c r="X30" s="512"/>
      <c r="Y30" s="512"/>
      <c r="Z30" s="512"/>
    </row>
    <row r="31" spans="2:43" ht="12.5">
      <c r="C31" s="513"/>
      <c r="D31" s="74"/>
      <c r="E31" s="279"/>
      <c r="F31" s="74"/>
      <c r="G31" s="284"/>
      <c r="H31" s="286"/>
      <c r="I31" s="514"/>
      <c r="J31" s="514"/>
      <c r="K31" s="514"/>
      <c r="L31" s="514"/>
      <c r="M31" s="514"/>
      <c r="N31" s="514"/>
      <c r="O31" s="514"/>
      <c r="P31" s="514"/>
      <c r="Q31" s="79"/>
      <c r="R31" s="283"/>
      <c r="S31" s="70"/>
      <c r="T31" s="69"/>
      <c r="U31" s="512"/>
      <c r="W31" s="512"/>
      <c r="X31" s="512"/>
      <c r="Y31" s="512"/>
      <c r="Z31" s="512"/>
    </row>
    <row r="32" spans="2:43" ht="15.5">
      <c r="C32" s="513"/>
      <c r="D32" s="279"/>
      <c r="E32" s="279"/>
      <c r="F32" s="279"/>
      <c r="G32" s="279"/>
      <c r="H32" s="279"/>
      <c r="I32" s="514"/>
      <c r="J32" s="514"/>
      <c r="K32" s="514"/>
      <c r="L32" s="514"/>
      <c r="M32" s="514"/>
      <c r="N32" s="514"/>
      <c r="O32" s="514"/>
      <c r="P32" s="514"/>
      <c r="Q32" s="79"/>
      <c r="R32" s="75"/>
      <c r="S32" s="70"/>
      <c r="T32" s="75"/>
      <c r="U32" s="78"/>
      <c r="W32" s="512"/>
      <c r="X32" s="512"/>
      <c r="Y32" s="512"/>
      <c r="Z32" s="512"/>
    </row>
    <row r="33" spans="3:26" ht="12.5">
      <c r="C33" s="513"/>
      <c r="D33" s="74"/>
      <c r="E33" s="74"/>
      <c r="F33" s="74"/>
      <c r="G33" s="74"/>
      <c r="H33" s="286"/>
      <c r="I33" s="514"/>
      <c r="J33" s="514"/>
      <c r="K33" s="514"/>
      <c r="L33" s="514"/>
      <c r="M33" s="514"/>
      <c r="N33" s="514"/>
      <c r="O33" s="514"/>
      <c r="P33" s="514"/>
      <c r="Q33" s="70"/>
      <c r="R33" s="283"/>
      <c r="S33" s="70"/>
      <c r="T33" s="69"/>
      <c r="U33" s="512"/>
      <c r="W33" s="512"/>
      <c r="X33" s="512"/>
      <c r="Y33" s="512"/>
      <c r="Z33" s="512"/>
    </row>
    <row r="34" spans="3:26">
      <c r="C34" s="513"/>
      <c r="D34" s="279"/>
      <c r="E34" s="279"/>
      <c r="F34" s="279"/>
      <c r="G34" s="279"/>
      <c r="H34" s="279"/>
      <c r="I34" s="514"/>
      <c r="J34" s="514"/>
      <c r="K34" s="514"/>
      <c r="L34" s="514"/>
      <c r="M34" s="514"/>
      <c r="N34" s="514"/>
      <c r="O34" s="514"/>
      <c r="P34" s="514"/>
      <c r="Q34" s="70"/>
      <c r="R34" s="75"/>
      <c r="S34" s="70"/>
      <c r="T34" s="75"/>
      <c r="U34" s="512"/>
      <c r="W34" s="512"/>
      <c r="X34" s="512"/>
      <c r="Y34" s="512"/>
      <c r="Z34" s="512"/>
    </row>
    <row r="35" spans="3:26" ht="12.5">
      <c r="C35" s="513"/>
      <c r="D35" s="74"/>
      <c r="E35" s="74"/>
      <c r="F35" s="74"/>
      <c r="G35" s="74"/>
      <c r="H35" s="286"/>
      <c r="I35" s="514"/>
      <c r="J35" s="514"/>
      <c r="K35" s="514"/>
      <c r="L35" s="514"/>
      <c r="M35" s="514"/>
      <c r="N35" s="514"/>
      <c r="O35" s="514"/>
      <c r="P35" s="514"/>
      <c r="Q35" s="70"/>
      <c r="R35" s="283"/>
      <c r="S35" s="70"/>
      <c r="T35" s="69"/>
      <c r="U35" s="512"/>
      <c r="W35" s="512"/>
      <c r="X35" s="512"/>
      <c r="Y35" s="512"/>
      <c r="Z35" s="512"/>
    </row>
    <row r="36" spans="3:26">
      <c r="C36" s="513"/>
      <c r="D36" s="279"/>
      <c r="E36" s="279"/>
      <c r="F36" s="279"/>
      <c r="G36" s="279"/>
      <c r="H36" s="279"/>
      <c r="I36" s="514"/>
      <c r="J36" s="514"/>
      <c r="K36" s="514"/>
      <c r="L36" s="514"/>
      <c r="M36" s="514"/>
      <c r="N36" s="514"/>
      <c r="O36" s="514"/>
      <c r="P36" s="514"/>
      <c r="Q36" s="70"/>
      <c r="R36" s="75"/>
      <c r="S36" s="70"/>
      <c r="T36" s="75"/>
      <c r="U36" s="512"/>
    </row>
    <row r="37" spans="3:26" ht="12.5">
      <c r="C37" s="513"/>
      <c r="D37" s="74"/>
      <c r="E37" s="74"/>
      <c r="F37" s="74"/>
      <c r="G37" s="284"/>
      <c r="H37" s="286"/>
      <c r="I37" s="514"/>
      <c r="J37" s="514"/>
      <c r="K37" s="514"/>
      <c r="L37" s="514"/>
      <c r="M37" s="514"/>
      <c r="N37" s="514"/>
      <c r="O37" s="514"/>
      <c r="P37" s="514"/>
      <c r="Q37" s="70"/>
      <c r="R37" s="283"/>
      <c r="S37" s="70"/>
      <c r="T37" s="69"/>
      <c r="U37" s="512"/>
    </row>
    <row r="38" spans="3:26">
      <c r="C38" s="513"/>
      <c r="D38" s="279"/>
      <c r="E38" s="279"/>
      <c r="F38" s="279"/>
      <c r="G38" s="279"/>
      <c r="H38" s="279"/>
      <c r="I38" s="514"/>
      <c r="J38" s="514"/>
      <c r="K38" s="514"/>
      <c r="L38" s="514"/>
      <c r="M38" s="514"/>
      <c r="N38" s="514"/>
      <c r="O38" s="514"/>
      <c r="P38" s="514"/>
      <c r="Q38" s="70"/>
      <c r="R38" s="75"/>
      <c r="S38" s="70"/>
      <c r="T38" s="75"/>
      <c r="U38" s="512"/>
    </row>
    <row r="39" spans="3:26" ht="12.5">
      <c r="C39" s="513"/>
      <c r="D39" s="74"/>
      <c r="E39" s="74"/>
      <c r="F39" s="74"/>
      <c r="G39" s="74"/>
      <c r="H39" s="74"/>
      <c r="I39" s="514"/>
      <c r="J39" s="514"/>
      <c r="K39" s="514"/>
      <c r="L39" s="514"/>
      <c r="M39" s="514"/>
      <c r="N39" s="514"/>
      <c r="O39" s="514"/>
      <c r="P39" s="514"/>
      <c r="Q39" s="70"/>
      <c r="R39" s="283"/>
      <c r="S39" s="70"/>
      <c r="T39" s="69"/>
      <c r="U39" s="512"/>
    </row>
  </sheetData>
  <sheetProtection algorithmName="SHA-512" hashValue="zQEYHTH4omgeERFTHohjQIg12kPnpWmk2lBamlsEhNTG1oIoZSP5E+9rvU1I+DV7NSsuL1xp9F/Is1MEkhlfGQ==" saltValue="bt+LqxNvHCbo8bMdJD6IAg==" spinCount="100000" sheet="1" objects="1" scenarios="1"/>
  <protectedRanges>
    <protectedRange algorithmName="SHA-512" hashValue="zYecIPhrCOylVCLRChOCMNuO8udmVnDgHasvlrHw6+ul/Tc2T9aYYBE+PRTod6Zo/EeQvz/9UHw5ElwwYA+xkA==" saltValue="RLJQ7kO2K1LbThr9VSQZpw==" spinCount="100000" sqref="D27:E27 D29:E29" name="Condic_Precip"/>
    <protectedRange algorithmName="SHA-512" hashValue="/r1qI6/O6xMYahbso8mdc891jWdagJVeuNyGt6l2GzJA22nNxx87B/9fCl7ETjzLamn3PfpyeySr9WPB+Vs3Mw==" saltValue="JEORqHnTcd09VfkfRVbzIA==" spinCount="100000" sqref="U7:U9" name="Usos do Solo"/>
    <protectedRange algorithmName="SHA-512" hashValue="Vg7XQXu1plkFz98tl3LY5UU83Qoso1WeBFey7DFiKNhrJ3pCoe2PEgjUZ4AJ+V7IsAPcQmQp/Mc+8dJ4axR5dg==" saltValue="ZolWhvgmqazzPhi23WvcUw==" spinCount="100000" sqref="E7 G7" name="Indice Impermeabilidade_1"/>
  </protectedRanges>
  <mergeCells count="44">
    <mergeCell ref="E13:F13"/>
    <mergeCell ref="E16:F16"/>
    <mergeCell ref="E19:F19"/>
    <mergeCell ref="D1:H1"/>
    <mergeCell ref="C2:D2"/>
    <mergeCell ref="U2:AI5"/>
    <mergeCell ref="C3:H3"/>
    <mergeCell ref="U22:U23"/>
    <mergeCell ref="I22:P23"/>
    <mergeCell ref="W10:AE10"/>
    <mergeCell ref="W11:AE11"/>
    <mergeCell ref="C9:E9"/>
    <mergeCell ref="C11:G11"/>
    <mergeCell ref="C13:D13"/>
    <mergeCell ref="C10:D10"/>
    <mergeCell ref="C14:G14"/>
    <mergeCell ref="C16:D16"/>
    <mergeCell ref="C17:G17"/>
    <mergeCell ref="C19:D19"/>
    <mergeCell ref="C20:G20"/>
    <mergeCell ref="E10:F10"/>
    <mergeCell ref="C32:C33"/>
    <mergeCell ref="I32:P33"/>
    <mergeCell ref="U33:U39"/>
    <mergeCell ref="C34:C35"/>
    <mergeCell ref="I34:P35"/>
    <mergeCell ref="C36:C37"/>
    <mergeCell ref="I36:P37"/>
    <mergeCell ref="C38:C39"/>
    <mergeCell ref="I38:P39"/>
    <mergeCell ref="I24:P25"/>
    <mergeCell ref="U25:U31"/>
    <mergeCell ref="I26:P27"/>
    <mergeCell ref="I28:P29"/>
    <mergeCell ref="C30:C31"/>
    <mergeCell ref="I30:P31"/>
    <mergeCell ref="W22:W28"/>
    <mergeCell ref="X22:X28"/>
    <mergeCell ref="Y22:Y28"/>
    <mergeCell ref="Z22:Z28"/>
    <mergeCell ref="W29:W35"/>
    <mergeCell ref="X29:X35"/>
    <mergeCell ref="Y29:Y35"/>
    <mergeCell ref="Z29:Z35"/>
  </mergeCells>
  <conditionalFormatting sqref="G4">
    <cfRule type="cellIs" dxfId="34" priority="1" operator="equal">
      <formula>"invicta"</formula>
    </cfRule>
    <cfRule type="cellIs" dxfId="33" priority="2" operator="equal">
      <formula>"líder"</formula>
    </cfRule>
    <cfRule type="cellIs" dxfId="32" priority="3" operator="equal">
      <formula>"exemplar"</formula>
    </cfRule>
    <cfRule type="cellIs" dxfId="31" priority="4" operator="equal">
      <formula>"inteligente"</formula>
    </cfRule>
  </conditionalFormatting>
  <dataValidations count="1">
    <dataValidation type="list" allowBlank="1" showInputMessage="1" showErrorMessage="1" sqref="D31">
      <formula1>$Y$26:$Y$31</formula1>
    </dataValidation>
  </dataValidations>
  <pageMargins left="0.25" right="0.25" top="0.75" bottom="0.75" header="0.3" footer="0.3"/>
  <pageSetup paperSize="9" scale="2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dimension ref="A1:H49"/>
  <sheetViews>
    <sheetView topLeftCell="A8" workbookViewId="0">
      <selection activeCell="A25" sqref="A25"/>
    </sheetView>
  </sheetViews>
  <sheetFormatPr defaultRowHeight="14.5"/>
  <cols>
    <col min="1" max="1" width="33.08984375" bestFit="1" customWidth="1"/>
    <col min="2" max="2" width="12.6328125" bestFit="1" customWidth="1"/>
    <col min="3" max="3" width="13.08984375" bestFit="1" customWidth="1"/>
    <col min="4" max="4" width="19.7265625" customWidth="1"/>
    <col min="5" max="5" width="19.6328125" customWidth="1"/>
  </cols>
  <sheetData>
    <row r="1" spans="1:8">
      <c r="B1" t="s">
        <v>1068</v>
      </c>
      <c r="C1" t="s">
        <v>1069</v>
      </c>
      <c r="D1" t="s">
        <v>1159</v>
      </c>
      <c r="E1" t="s">
        <v>1160</v>
      </c>
    </row>
    <row r="2" spans="1:8" ht="25">
      <c r="A2" s="73" t="s">
        <v>1058</v>
      </c>
      <c r="B2" s="154">
        <v>0.76</v>
      </c>
      <c r="C2" s="154">
        <v>0.7</v>
      </c>
      <c r="D2" s="154">
        <v>0.88</v>
      </c>
      <c r="E2" s="154">
        <v>0.85</v>
      </c>
    </row>
    <row r="3" spans="1:8" ht="25">
      <c r="A3" s="73" t="s">
        <v>1059</v>
      </c>
      <c r="B3" s="154">
        <v>0.76</v>
      </c>
      <c r="C3" s="154">
        <v>0.7</v>
      </c>
      <c r="D3" s="154">
        <v>0.88</v>
      </c>
      <c r="E3" s="154">
        <v>0.85</v>
      </c>
      <c r="H3" s="115"/>
    </row>
    <row r="4" spans="1:8">
      <c r="A4" s="73" t="s">
        <v>1060</v>
      </c>
      <c r="B4" s="154">
        <v>0.84</v>
      </c>
      <c r="C4" s="154">
        <v>0.8</v>
      </c>
      <c r="D4" s="154">
        <v>0.92</v>
      </c>
      <c r="E4" s="154">
        <v>0.9</v>
      </c>
    </row>
    <row r="5" spans="1:8">
      <c r="A5" s="74" t="s">
        <v>1061</v>
      </c>
      <c r="B5" s="154">
        <v>0.76</v>
      </c>
      <c r="C5" s="154">
        <v>0.7</v>
      </c>
      <c r="D5" s="154">
        <v>0.88</v>
      </c>
      <c r="E5" s="154">
        <v>0.85</v>
      </c>
    </row>
    <row r="6" spans="1:8">
      <c r="A6" s="73" t="s">
        <v>1062</v>
      </c>
      <c r="B6" s="154">
        <v>0.6</v>
      </c>
      <c r="C6" s="154">
        <v>0.5</v>
      </c>
      <c r="D6" s="154">
        <v>0.8</v>
      </c>
      <c r="E6" s="154">
        <v>0.75</v>
      </c>
    </row>
    <row r="7" spans="1:8">
      <c r="A7" s="91" t="s">
        <v>1063</v>
      </c>
      <c r="B7" s="154">
        <v>0.44</v>
      </c>
      <c r="C7" s="154">
        <v>0.3</v>
      </c>
      <c r="D7" s="154">
        <v>0.72</v>
      </c>
      <c r="E7" s="154">
        <v>0.65</v>
      </c>
    </row>
    <row r="8" spans="1:8">
      <c r="A8" s="73" t="s">
        <v>1064</v>
      </c>
      <c r="B8" s="154">
        <v>0.72</v>
      </c>
      <c r="C8" s="154">
        <v>0.65</v>
      </c>
      <c r="D8" s="154">
        <v>0.86</v>
      </c>
      <c r="E8" s="154">
        <v>0.83</v>
      </c>
    </row>
    <row r="11" spans="1:8">
      <c r="A11" s="99" t="s">
        <v>139</v>
      </c>
    </row>
    <row r="12" spans="1:8">
      <c r="A12" s="99" t="s">
        <v>137</v>
      </c>
    </row>
    <row r="14" spans="1:8">
      <c r="D14" t="s">
        <v>225</v>
      </c>
      <c r="E14">
        <v>0.125</v>
      </c>
    </row>
    <row r="15" spans="1:8">
      <c r="A15" s="99" t="s">
        <v>140</v>
      </c>
      <c r="D15" t="s">
        <v>224</v>
      </c>
      <c r="E15">
        <v>0.5</v>
      </c>
    </row>
    <row r="16" spans="1:8">
      <c r="A16" s="99" t="s">
        <v>138</v>
      </c>
      <c r="D16" t="s">
        <v>227</v>
      </c>
      <c r="E16">
        <v>2.5</v>
      </c>
    </row>
    <row r="17" spans="1:5">
      <c r="A17" s="99" t="s">
        <v>136</v>
      </c>
      <c r="D17" t="s">
        <v>226</v>
      </c>
      <c r="E17">
        <v>10</v>
      </c>
    </row>
    <row r="18" spans="1:5">
      <c r="D18" t="s">
        <v>228</v>
      </c>
      <c r="E18">
        <f>(E15-E14)/(E17-E16)</f>
        <v>0.05</v>
      </c>
    </row>
    <row r="19" spans="1:5">
      <c r="D19" t="s">
        <v>229</v>
      </c>
      <c r="E19">
        <f>E15-E18*E17</f>
        <v>0</v>
      </c>
    </row>
    <row r="20" spans="1:5">
      <c r="A20" s="57" t="s">
        <v>39</v>
      </c>
      <c r="D20" t="s">
        <v>230</v>
      </c>
      <c r="E20">
        <v>0.253</v>
      </c>
    </row>
    <row r="21" spans="1:5">
      <c r="A21" s="57" t="s">
        <v>4</v>
      </c>
      <c r="D21" t="s">
        <v>231</v>
      </c>
      <c r="E21">
        <f>E18*E20+E19</f>
        <v>1.2650000000000002E-2</v>
      </c>
    </row>
    <row r="22" spans="1:5">
      <c r="A22" s="57" t="s">
        <v>3</v>
      </c>
    </row>
    <row r="23" spans="1:5">
      <c r="A23" s="58" t="s">
        <v>1476</v>
      </c>
    </row>
    <row r="24" spans="1:5">
      <c r="A24" s="57" t="s">
        <v>1477</v>
      </c>
    </row>
    <row r="25" spans="1:5">
      <c r="A25" s="57" t="s">
        <v>53</v>
      </c>
    </row>
    <row r="27" spans="1:5">
      <c r="A27" s="73" t="s">
        <v>1191</v>
      </c>
    </row>
    <row r="28" spans="1:5">
      <c r="A28" s="73" t="s">
        <v>237</v>
      </c>
    </row>
    <row r="29" spans="1:5">
      <c r="A29" s="77" t="s">
        <v>238</v>
      </c>
    </row>
    <row r="32" spans="1:5">
      <c r="A32" s="73" t="s">
        <v>28</v>
      </c>
    </row>
    <row r="33" spans="1:2">
      <c r="A33" s="73" t="s">
        <v>1046</v>
      </c>
    </row>
    <row r="34" spans="1:2">
      <c r="A34" s="73" t="s">
        <v>1047</v>
      </c>
    </row>
    <row r="35" spans="1:2">
      <c r="A35" s="74" t="s">
        <v>1048</v>
      </c>
    </row>
    <row r="38" spans="1:2" ht="25">
      <c r="A38" s="19" t="s">
        <v>48</v>
      </c>
      <c r="B38" s="19">
        <v>0.6</v>
      </c>
    </row>
    <row r="39" spans="1:2" ht="25">
      <c r="A39" s="19" t="s">
        <v>49</v>
      </c>
      <c r="B39" s="19">
        <v>0.7</v>
      </c>
    </row>
    <row r="40" spans="1:2" ht="25">
      <c r="A40" s="19" t="s">
        <v>63</v>
      </c>
      <c r="B40" s="19">
        <v>0.7</v>
      </c>
    </row>
    <row r="41" spans="1:2" ht="25">
      <c r="A41" s="19" t="s">
        <v>65</v>
      </c>
      <c r="B41" s="19">
        <v>0.7</v>
      </c>
    </row>
    <row r="42" spans="1:2">
      <c r="A42" s="19" t="s">
        <v>66</v>
      </c>
      <c r="B42" s="19">
        <v>0.6</v>
      </c>
    </row>
    <row r="43" spans="1:2" ht="25">
      <c r="A43" s="19" t="s">
        <v>67</v>
      </c>
      <c r="B43" s="19">
        <v>0.7</v>
      </c>
    </row>
    <row r="44" spans="1:2">
      <c r="A44" s="19" t="s">
        <v>68</v>
      </c>
      <c r="B44" s="19">
        <v>0.3</v>
      </c>
    </row>
    <row r="45" spans="1:2" ht="25">
      <c r="A45" s="19" t="s">
        <v>69</v>
      </c>
      <c r="B45" s="19">
        <v>0.65</v>
      </c>
    </row>
    <row r="46" spans="1:2">
      <c r="A46" s="19" t="s">
        <v>1027</v>
      </c>
      <c r="B46" s="19">
        <v>1</v>
      </c>
    </row>
    <row r="47" spans="1:2">
      <c r="A47" t="s">
        <v>1172</v>
      </c>
      <c r="B47" s="208">
        <v>0.05</v>
      </c>
    </row>
    <row r="48" spans="1:2">
      <c r="A48" t="s">
        <v>1173</v>
      </c>
      <c r="B48" s="208">
        <v>0.05</v>
      </c>
    </row>
    <row r="49" spans="1:2">
      <c r="A49" s="208" t="s">
        <v>1188</v>
      </c>
      <c r="B49" s="261">
        <v>0.2</v>
      </c>
    </row>
  </sheetData>
  <protectedRanges>
    <protectedRange algorithmName="SHA-512" hashValue="/r1qI6/O6xMYahbso8mdc891jWdagJVeuNyGt6l2GzJA22nNxx87B/9fCl7ETjzLamn3PfpyeySr9WPB+Vs3Mw==" saltValue="JEORqHnTcd09VfkfRVbzIA==" spinCount="100000" sqref="A38:A39" name="Usos do Solo"/>
  </protectedRange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dimension ref="A2:R55"/>
  <sheetViews>
    <sheetView topLeftCell="A43" workbookViewId="0">
      <selection activeCell="E36" sqref="E36"/>
    </sheetView>
  </sheetViews>
  <sheetFormatPr defaultRowHeight="14.5"/>
  <cols>
    <col min="1" max="1" width="13.54296875" style="14" customWidth="1"/>
    <col min="2" max="2" width="13.36328125" style="13" customWidth="1"/>
    <col min="3" max="3" width="15.1796875" style="13" customWidth="1"/>
    <col min="4" max="4" width="110.26953125" customWidth="1"/>
    <col min="5" max="5" width="29.7265625" style="12" customWidth="1"/>
  </cols>
  <sheetData>
    <row r="2" spans="2:18" ht="33.5">
      <c r="B2" s="723" t="s">
        <v>1023</v>
      </c>
      <c r="C2" s="723"/>
      <c r="D2" s="134"/>
      <c r="E2" s="134"/>
    </row>
    <row r="3" spans="2:18" ht="33.5">
      <c r="B3" s="723"/>
      <c r="C3" s="723"/>
      <c r="D3" s="134"/>
      <c r="E3" s="134"/>
    </row>
    <row r="4" spans="2:18" ht="33.5">
      <c r="B4" s="723"/>
      <c r="C4" s="723"/>
      <c r="D4" s="134"/>
      <c r="E4" s="134"/>
    </row>
    <row r="5" spans="2:18">
      <c r="B5" s="723"/>
      <c r="C5" s="723"/>
      <c r="D5" s="5"/>
      <c r="E5" s="43"/>
    </row>
    <row r="6" spans="2:18">
      <c r="B6" s="723"/>
      <c r="C6" s="723"/>
      <c r="D6" s="5"/>
      <c r="E6" s="43"/>
    </row>
    <row r="7" spans="2:18">
      <c r="B7" s="723"/>
      <c r="C7" s="723"/>
      <c r="D7" s="5"/>
      <c r="E7" s="43"/>
    </row>
    <row r="8" spans="2:18">
      <c r="B8" s="135"/>
      <c r="C8" s="135"/>
      <c r="D8" s="5"/>
      <c r="E8" s="43"/>
    </row>
    <row r="9" spans="2:18" ht="15" thickBot="1">
      <c r="B9" s="135"/>
      <c r="C9" s="135"/>
      <c r="D9" s="5"/>
      <c r="E9" s="43"/>
    </row>
    <row r="10" spans="2:18" ht="18.5">
      <c r="B10" s="138" t="s">
        <v>26</v>
      </c>
      <c r="C10" s="139" t="s">
        <v>25</v>
      </c>
      <c r="D10" s="139" t="s">
        <v>24</v>
      </c>
      <c r="E10" s="140" t="s">
        <v>2</v>
      </c>
    </row>
    <row r="11" spans="2:18" ht="130.5">
      <c r="B11" s="8" t="s">
        <v>8</v>
      </c>
      <c r="C11" s="10" t="s">
        <v>23</v>
      </c>
      <c r="D11" s="10" t="s">
        <v>22</v>
      </c>
      <c r="E11" s="136" t="s">
        <v>44</v>
      </c>
    </row>
    <row r="12" spans="2:18" ht="43.5">
      <c r="B12" s="8" t="s">
        <v>8</v>
      </c>
      <c r="C12" s="10" t="s">
        <v>40</v>
      </c>
      <c r="D12" s="10" t="s">
        <v>21</v>
      </c>
      <c r="E12" s="136" t="s">
        <v>47</v>
      </c>
    </row>
    <row r="13" spans="2:18" ht="29">
      <c r="B13" s="8" t="s">
        <v>8</v>
      </c>
      <c r="C13" s="10" t="s">
        <v>20</v>
      </c>
      <c r="D13" s="10" t="s">
        <v>19</v>
      </c>
      <c r="E13" s="136"/>
    </row>
    <row r="14" spans="2:18" ht="43.5">
      <c r="B14" s="8" t="s">
        <v>8</v>
      </c>
      <c r="C14" s="10" t="s">
        <v>41</v>
      </c>
      <c r="D14" s="10" t="s">
        <v>18</v>
      </c>
      <c r="E14" s="136" t="s">
        <v>45</v>
      </c>
    </row>
    <row r="15" spans="2:18" ht="29">
      <c r="B15" s="8" t="s">
        <v>8</v>
      </c>
      <c r="C15" s="10" t="s">
        <v>17</v>
      </c>
      <c r="D15" s="10" t="s">
        <v>16</v>
      </c>
      <c r="E15" s="136" t="s">
        <v>46</v>
      </c>
    </row>
    <row r="16" spans="2:18" ht="29">
      <c r="B16" s="8" t="s">
        <v>8</v>
      </c>
      <c r="C16" s="10" t="s">
        <v>15</v>
      </c>
      <c r="D16" s="10" t="s">
        <v>14</v>
      </c>
      <c r="E16" s="136"/>
      <c r="F16" s="12"/>
      <c r="G16" s="12"/>
      <c r="H16" s="12"/>
      <c r="I16" s="12"/>
      <c r="J16" s="12"/>
      <c r="K16" s="12"/>
      <c r="L16" s="12"/>
      <c r="M16" s="12"/>
      <c r="N16" s="12"/>
      <c r="O16" s="12"/>
      <c r="P16" s="12"/>
      <c r="Q16" s="12"/>
      <c r="R16" s="12"/>
    </row>
    <row r="17" spans="2:18" ht="29">
      <c r="B17" s="8" t="s">
        <v>8</v>
      </c>
      <c r="C17" s="10" t="s">
        <v>12</v>
      </c>
      <c r="D17" s="10" t="s">
        <v>11</v>
      </c>
      <c r="E17" s="136" t="s">
        <v>42</v>
      </c>
      <c r="F17" s="12"/>
      <c r="G17" s="12"/>
      <c r="H17" s="12"/>
      <c r="I17" s="12"/>
      <c r="J17" s="12"/>
      <c r="K17" s="12"/>
      <c r="L17" s="12"/>
      <c r="M17" s="12"/>
      <c r="N17" s="12"/>
      <c r="O17" s="12"/>
      <c r="P17" s="12"/>
      <c r="Q17" s="12"/>
      <c r="R17" s="12"/>
    </row>
    <row r="18" spans="2:18" ht="29">
      <c r="B18" s="8" t="s">
        <v>8</v>
      </c>
      <c r="C18" s="10" t="s">
        <v>10</v>
      </c>
      <c r="D18" s="10" t="s">
        <v>9</v>
      </c>
      <c r="E18" s="136" t="s">
        <v>42</v>
      </c>
      <c r="F18" s="12"/>
      <c r="G18" s="12"/>
      <c r="H18" s="12"/>
      <c r="I18" s="12"/>
      <c r="J18" s="12"/>
      <c r="K18" s="12"/>
      <c r="L18" s="12"/>
      <c r="M18" s="12"/>
      <c r="N18" s="12"/>
      <c r="O18" s="12"/>
      <c r="P18" s="12"/>
      <c r="Q18" s="12"/>
      <c r="R18" s="12"/>
    </row>
    <row r="19" spans="2:18" ht="29">
      <c r="B19" s="8" t="s">
        <v>8</v>
      </c>
      <c r="C19" s="10" t="s">
        <v>7</v>
      </c>
      <c r="D19" s="10" t="s">
        <v>6</v>
      </c>
      <c r="E19" s="136" t="s">
        <v>43</v>
      </c>
      <c r="F19" s="12"/>
      <c r="G19" s="12"/>
      <c r="H19" s="12"/>
      <c r="I19" s="12"/>
      <c r="J19" s="12"/>
      <c r="K19" s="12"/>
      <c r="L19" s="12"/>
      <c r="M19" s="12"/>
      <c r="N19" s="12"/>
      <c r="O19" s="12"/>
      <c r="P19" s="12"/>
      <c r="Q19" s="12"/>
      <c r="R19" s="12"/>
    </row>
    <row r="20" spans="2:18" ht="29">
      <c r="B20" s="8" t="s">
        <v>27</v>
      </c>
      <c r="C20" s="10" t="s">
        <v>28</v>
      </c>
      <c r="D20" s="10" t="s">
        <v>29</v>
      </c>
      <c r="E20" s="136"/>
      <c r="F20" s="12"/>
      <c r="G20" s="12"/>
      <c r="H20" s="12"/>
      <c r="I20" s="12"/>
      <c r="J20" s="12"/>
      <c r="K20" s="12"/>
      <c r="L20" s="12"/>
      <c r="M20" s="12"/>
      <c r="N20" s="12"/>
      <c r="O20" s="12"/>
      <c r="P20" s="12"/>
      <c r="Q20" s="12"/>
      <c r="R20" s="12"/>
    </row>
    <row r="21" spans="2:18" ht="29">
      <c r="B21" s="8" t="s">
        <v>27</v>
      </c>
      <c r="C21" s="10" t="s">
        <v>30</v>
      </c>
      <c r="D21" s="10" t="s">
        <v>31</v>
      </c>
      <c r="E21" s="136"/>
      <c r="F21" s="12"/>
      <c r="G21" s="12"/>
      <c r="H21" s="12"/>
      <c r="I21" s="12"/>
      <c r="J21" s="12"/>
      <c r="K21" s="12"/>
      <c r="L21" s="12"/>
      <c r="M21" s="12"/>
      <c r="N21" s="12"/>
      <c r="O21" s="12"/>
      <c r="P21" s="12"/>
      <c r="Q21" s="12"/>
      <c r="R21" s="12"/>
    </row>
    <row r="22" spans="2:18" ht="29">
      <c r="B22" s="8" t="s">
        <v>27</v>
      </c>
      <c r="C22" s="10" t="s">
        <v>32</v>
      </c>
      <c r="D22" s="10" t="s">
        <v>33</v>
      </c>
      <c r="E22" s="136"/>
      <c r="F22" s="12"/>
      <c r="G22" s="12"/>
      <c r="H22" s="12"/>
      <c r="I22" s="12"/>
      <c r="J22" s="12"/>
      <c r="K22" s="12"/>
      <c r="L22" s="12"/>
      <c r="M22" s="12"/>
      <c r="N22" s="12"/>
      <c r="O22" s="12"/>
      <c r="P22" s="12"/>
      <c r="Q22" s="12"/>
      <c r="R22" s="12"/>
    </row>
    <row r="23" spans="2:18" ht="29">
      <c r="B23" s="8" t="s">
        <v>27</v>
      </c>
      <c r="C23" s="10" t="s">
        <v>34</v>
      </c>
      <c r="D23" s="10" t="s">
        <v>35</v>
      </c>
      <c r="E23" s="136"/>
      <c r="F23" s="12"/>
      <c r="G23" s="12"/>
      <c r="H23" s="12"/>
      <c r="I23" s="12"/>
      <c r="J23" s="12"/>
      <c r="K23" s="12"/>
      <c r="L23" s="12"/>
      <c r="M23" s="12"/>
      <c r="N23" s="12"/>
      <c r="O23" s="12"/>
      <c r="P23" s="12"/>
      <c r="Q23" s="12"/>
      <c r="R23" s="12"/>
    </row>
    <row r="24" spans="2:18" ht="43.5">
      <c r="B24" s="8" t="s">
        <v>27</v>
      </c>
      <c r="C24" s="10" t="s">
        <v>36</v>
      </c>
      <c r="D24" s="10" t="s">
        <v>37</v>
      </c>
      <c r="E24" s="136"/>
      <c r="F24" s="12"/>
      <c r="G24" s="12"/>
      <c r="H24" s="12"/>
      <c r="I24" s="12"/>
      <c r="J24" s="12"/>
      <c r="K24" s="12"/>
      <c r="L24" s="12"/>
      <c r="M24" s="12"/>
      <c r="N24" s="12"/>
      <c r="O24" s="12"/>
      <c r="P24" s="12"/>
      <c r="Q24" s="12"/>
      <c r="R24" s="12"/>
    </row>
    <row r="25" spans="2:18" ht="101.5">
      <c r="B25" s="10" t="s">
        <v>125</v>
      </c>
      <c r="C25" s="10" t="s">
        <v>123</v>
      </c>
      <c r="D25" s="10" t="s">
        <v>124</v>
      </c>
      <c r="E25" s="136"/>
      <c r="F25" s="12"/>
      <c r="G25" s="12"/>
      <c r="H25" s="12"/>
      <c r="I25" s="12"/>
      <c r="J25" s="504" t="s">
        <v>13</v>
      </c>
      <c r="K25" s="504"/>
      <c r="L25" s="504"/>
      <c r="M25" s="504"/>
      <c r="N25" s="504"/>
      <c r="O25" s="504"/>
      <c r="P25" s="504"/>
      <c r="Q25" s="12"/>
      <c r="R25" s="12"/>
    </row>
    <row r="26" spans="2:18" ht="29">
      <c r="B26" s="10" t="s">
        <v>8</v>
      </c>
      <c r="C26" s="10" t="s">
        <v>17</v>
      </c>
      <c r="D26" s="10" t="s">
        <v>172</v>
      </c>
      <c r="E26" s="137" t="s">
        <v>46</v>
      </c>
      <c r="F26" s="12"/>
      <c r="G26" s="12"/>
      <c r="H26" s="12"/>
      <c r="I26" s="12"/>
      <c r="J26" s="504"/>
      <c r="K26" s="504"/>
      <c r="L26" s="504"/>
      <c r="M26" s="504"/>
      <c r="N26" s="504"/>
      <c r="O26" s="504"/>
      <c r="P26" s="504"/>
      <c r="Q26" s="12"/>
      <c r="R26" s="12"/>
    </row>
    <row r="27" spans="2:18" ht="304.5">
      <c r="B27" s="10" t="s">
        <v>1024</v>
      </c>
      <c r="C27" s="10" t="s">
        <v>170</v>
      </c>
      <c r="D27" s="10" t="s">
        <v>171</v>
      </c>
      <c r="E27" s="137"/>
      <c r="F27" s="12"/>
      <c r="G27" s="12"/>
      <c r="H27" s="12"/>
      <c r="I27" s="12"/>
      <c r="J27" s="504"/>
      <c r="K27" s="504"/>
      <c r="L27" s="504"/>
      <c r="M27" s="504"/>
      <c r="N27" s="504"/>
      <c r="O27" s="504"/>
      <c r="P27" s="504"/>
      <c r="Q27" s="12"/>
      <c r="R27" s="12"/>
    </row>
    <row r="28" spans="2:18" ht="116">
      <c r="B28" s="10" t="s">
        <v>1024</v>
      </c>
      <c r="C28" s="10" t="s">
        <v>173</v>
      </c>
      <c r="D28" s="10" t="s">
        <v>174</v>
      </c>
      <c r="E28" s="137"/>
      <c r="F28" s="12"/>
      <c r="G28" s="12"/>
      <c r="H28" s="12"/>
      <c r="I28" s="12"/>
      <c r="J28" s="504"/>
      <c r="K28" s="504"/>
      <c r="L28" s="504"/>
      <c r="M28" s="504"/>
      <c r="N28" s="504"/>
      <c r="O28" s="504"/>
      <c r="P28" s="504"/>
      <c r="Q28" s="12"/>
      <c r="R28" s="12"/>
    </row>
    <row r="29" spans="2:18" ht="43.5">
      <c r="B29" s="10" t="s">
        <v>176</v>
      </c>
      <c r="C29" s="10" t="s">
        <v>175</v>
      </c>
      <c r="D29" s="10" t="s">
        <v>177</v>
      </c>
      <c r="E29" s="137"/>
      <c r="F29" s="12"/>
      <c r="G29" s="12"/>
      <c r="H29" s="12"/>
      <c r="I29" s="12"/>
      <c r="J29" s="12"/>
      <c r="K29" s="12"/>
      <c r="L29" s="12"/>
      <c r="M29" s="12"/>
      <c r="N29" s="12"/>
      <c r="O29" s="12"/>
      <c r="P29" s="12"/>
      <c r="Q29" s="12"/>
      <c r="R29" s="12"/>
    </row>
    <row r="30" spans="2:18" ht="29">
      <c r="B30" s="10" t="s">
        <v>122</v>
      </c>
      <c r="C30" s="10" t="s">
        <v>127</v>
      </c>
      <c r="D30" s="10" t="s">
        <v>129</v>
      </c>
      <c r="E30" s="137"/>
      <c r="F30" s="12"/>
      <c r="G30" s="12"/>
      <c r="H30" s="12"/>
      <c r="I30" s="12"/>
      <c r="J30" s="12"/>
      <c r="K30" s="12"/>
      <c r="L30" s="12"/>
      <c r="M30" s="12"/>
      <c r="N30" s="12"/>
      <c r="O30" s="12"/>
      <c r="P30" s="12"/>
      <c r="Q30" s="12"/>
      <c r="R30" s="12"/>
    </row>
    <row r="31" spans="2:18" ht="29">
      <c r="B31" s="10" t="s">
        <v>122</v>
      </c>
      <c r="C31" s="10" t="s">
        <v>126</v>
      </c>
      <c r="D31" s="10" t="s">
        <v>128</v>
      </c>
      <c r="E31" s="137"/>
      <c r="H31" s="12"/>
      <c r="I31" s="12"/>
      <c r="J31" s="12"/>
      <c r="K31" s="12"/>
      <c r="L31" s="12"/>
      <c r="M31" s="12"/>
      <c r="N31" s="12"/>
      <c r="O31" s="12"/>
      <c r="P31" s="12"/>
      <c r="Q31" s="12"/>
      <c r="R31" s="12"/>
    </row>
    <row r="32" spans="2:18" ht="29" customHeight="1">
      <c r="B32" s="10" t="s">
        <v>122</v>
      </c>
      <c r="C32" s="10" t="s">
        <v>133</v>
      </c>
      <c r="D32" s="10" t="s">
        <v>134</v>
      </c>
      <c r="E32" s="137"/>
      <c r="H32" s="12"/>
      <c r="I32" s="12"/>
      <c r="J32" s="724" t="s">
        <v>5</v>
      </c>
      <c r="K32" s="724"/>
      <c r="L32" s="724"/>
      <c r="M32" s="724"/>
      <c r="N32" s="724"/>
      <c r="O32" s="724"/>
      <c r="P32" s="12"/>
      <c r="Q32" s="12"/>
      <c r="R32" s="12"/>
    </row>
    <row r="33" spans="2:18" ht="101.5">
      <c r="B33" s="10" t="s">
        <v>1025</v>
      </c>
      <c r="C33" s="10" t="s">
        <v>123</v>
      </c>
      <c r="D33" s="10" t="s">
        <v>124</v>
      </c>
      <c r="E33" s="137"/>
      <c r="H33" s="12"/>
      <c r="I33" s="12"/>
      <c r="J33" s="724"/>
      <c r="K33" s="724"/>
      <c r="L33" s="724"/>
      <c r="M33" s="724"/>
      <c r="N33" s="724"/>
      <c r="O33" s="724"/>
      <c r="P33" s="12"/>
      <c r="Q33" s="12"/>
      <c r="R33" s="12"/>
    </row>
    <row r="34" spans="2:18" ht="43.5">
      <c r="B34" s="10" t="s">
        <v>122</v>
      </c>
      <c r="C34" s="10" t="s">
        <v>131</v>
      </c>
      <c r="D34" s="10" t="s">
        <v>132</v>
      </c>
      <c r="E34" s="137"/>
      <c r="H34" s="12"/>
      <c r="I34" s="12"/>
      <c r="J34" s="724"/>
      <c r="K34" s="724"/>
      <c r="L34" s="724"/>
      <c r="M34" s="724"/>
      <c r="N34" s="724"/>
      <c r="O34" s="724"/>
      <c r="P34" s="12"/>
      <c r="Q34" s="12"/>
      <c r="R34" s="12"/>
    </row>
    <row r="35" spans="2:18" ht="29">
      <c r="B35" s="10" t="s">
        <v>122</v>
      </c>
      <c r="C35" s="10" t="s">
        <v>135</v>
      </c>
      <c r="D35" s="10" t="s">
        <v>145</v>
      </c>
      <c r="E35" s="137"/>
      <c r="F35" s="12"/>
      <c r="G35" s="12"/>
      <c r="H35" s="12"/>
      <c r="I35" s="12"/>
      <c r="J35" s="724"/>
      <c r="K35" s="724"/>
      <c r="L35" s="724"/>
      <c r="M35" s="724"/>
      <c r="N35" s="724"/>
      <c r="O35" s="724"/>
      <c r="P35" s="12"/>
      <c r="Q35" s="12"/>
      <c r="R35" s="12"/>
    </row>
    <row r="36" spans="2:18" ht="101.5">
      <c r="B36" s="10" t="s">
        <v>122</v>
      </c>
      <c r="C36" s="10" t="s">
        <v>141</v>
      </c>
      <c r="D36" s="10" t="s">
        <v>142</v>
      </c>
      <c r="E36" s="137"/>
      <c r="F36" s="12"/>
      <c r="G36" s="12"/>
      <c r="H36" s="12"/>
      <c r="I36" s="12"/>
      <c r="J36" s="724"/>
      <c r="K36" s="724"/>
      <c r="L36" s="724"/>
      <c r="M36" s="724"/>
      <c r="N36" s="724"/>
      <c r="O36" s="724"/>
      <c r="P36" s="12"/>
      <c r="Q36" s="12"/>
      <c r="R36" s="12"/>
    </row>
    <row r="37" spans="2:18" ht="72.5">
      <c r="B37" s="10" t="s">
        <v>158</v>
      </c>
      <c r="C37" s="10" t="s">
        <v>147</v>
      </c>
      <c r="D37" s="10" t="s">
        <v>148</v>
      </c>
      <c r="E37" s="137"/>
      <c r="H37" s="12"/>
      <c r="I37" s="12"/>
      <c r="J37" s="12"/>
      <c r="K37" s="12"/>
      <c r="L37" s="12"/>
      <c r="M37" s="12"/>
      <c r="N37" s="12"/>
      <c r="O37" s="12"/>
      <c r="P37" s="12"/>
      <c r="Q37" s="12"/>
      <c r="R37" s="12"/>
    </row>
    <row r="38" spans="2:18" ht="72.5">
      <c r="B38" s="10" t="s">
        <v>158</v>
      </c>
      <c r="C38" s="10" t="s">
        <v>149</v>
      </c>
      <c r="D38" s="10" t="s">
        <v>150</v>
      </c>
      <c r="E38" s="137"/>
      <c r="H38" s="12"/>
      <c r="I38" s="12"/>
      <c r="J38" s="12"/>
      <c r="K38" s="12"/>
      <c r="L38" s="12"/>
      <c r="M38" s="12"/>
      <c r="N38" s="12"/>
      <c r="O38" s="12"/>
      <c r="P38" s="12"/>
      <c r="Q38" s="12"/>
      <c r="R38" s="12"/>
    </row>
    <row r="39" spans="2:18" ht="72.5">
      <c r="B39" s="10" t="s">
        <v>158</v>
      </c>
      <c r="C39" s="10" t="s">
        <v>151</v>
      </c>
      <c r="D39" s="10" t="s">
        <v>154</v>
      </c>
      <c r="E39" s="137"/>
      <c r="H39" s="12"/>
      <c r="I39" s="12"/>
      <c r="J39" s="12"/>
      <c r="K39" s="12"/>
      <c r="L39" s="12"/>
      <c r="M39" s="12"/>
      <c r="N39" s="12"/>
      <c r="O39" s="12"/>
      <c r="P39" s="12"/>
      <c r="Q39" s="12"/>
      <c r="R39" s="12"/>
    </row>
    <row r="40" spans="2:18" ht="72.5">
      <c r="B40" s="10" t="s">
        <v>158</v>
      </c>
      <c r="C40" s="10" t="s">
        <v>152</v>
      </c>
      <c r="D40" s="10" t="s">
        <v>153</v>
      </c>
      <c r="E40" s="137"/>
      <c r="H40" s="12"/>
      <c r="I40" s="12"/>
      <c r="J40" s="12"/>
      <c r="K40" s="12"/>
      <c r="L40" s="12"/>
      <c r="M40" s="12"/>
      <c r="N40" s="12"/>
      <c r="O40" s="12"/>
      <c r="P40" s="12"/>
      <c r="Q40" s="12"/>
      <c r="R40" s="12"/>
    </row>
    <row r="41" spans="2:18" ht="87">
      <c r="B41" s="10" t="s">
        <v>157</v>
      </c>
      <c r="C41" s="10" t="s">
        <v>155</v>
      </c>
      <c r="D41" s="10" t="s">
        <v>156</v>
      </c>
      <c r="E41" s="137"/>
      <c r="H41" s="12"/>
      <c r="I41" s="12"/>
      <c r="J41" s="12"/>
      <c r="K41" s="12"/>
      <c r="L41" s="12"/>
      <c r="M41" s="12"/>
      <c r="N41" s="12"/>
      <c r="O41" s="12"/>
      <c r="P41" s="12"/>
      <c r="Q41" s="12"/>
      <c r="R41" s="12"/>
    </row>
    <row r="42" spans="2:18" ht="391.5">
      <c r="B42" s="10" t="s">
        <v>167</v>
      </c>
      <c r="C42" s="10" t="s">
        <v>166</v>
      </c>
      <c r="D42" s="10" t="s">
        <v>168</v>
      </c>
      <c r="E42" s="137"/>
      <c r="H42" s="12"/>
      <c r="I42" s="12"/>
      <c r="J42" s="12"/>
      <c r="K42" s="12"/>
      <c r="L42" s="12"/>
      <c r="M42" s="12"/>
      <c r="N42" s="12"/>
      <c r="O42" s="12"/>
      <c r="P42" s="12"/>
      <c r="Q42" s="12"/>
      <c r="R42" s="12"/>
    </row>
    <row r="43" spans="2:18">
      <c r="E43"/>
      <c r="H43" s="12"/>
      <c r="I43" s="12"/>
      <c r="J43" s="12"/>
      <c r="K43" s="12"/>
      <c r="L43" s="12"/>
      <c r="M43" s="12"/>
      <c r="N43" s="12"/>
      <c r="O43" s="12"/>
      <c r="P43" s="12"/>
      <c r="Q43" s="12"/>
      <c r="R43" s="12"/>
    </row>
    <row r="44" spans="2:18">
      <c r="H44" s="12"/>
      <c r="I44" s="12"/>
      <c r="J44" s="12"/>
      <c r="K44" s="12"/>
      <c r="L44" s="12"/>
      <c r="M44" s="12"/>
      <c r="N44" s="12"/>
      <c r="O44" s="12"/>
      <c r="P44" s="12"/>
      <c r="Q44" s="12"/>
      <c r="R44" s="12"/>
    </row>
    <row r="45" spans="2:18">
      <c r="H45" s="12"/>
      <c r="I45" s="12"/>
      <c r="J45" s="12"/>
      <c r="K45" s="12"/>
      <c r="L45" s="12"/>
      <c r="M45" s="12"/>
      <c r="N45" s="12"/>
      <c r="O45" s="12"/>
      <c r="P45" s="12"/>
      <c r="Q45" s="12"/>
      <c r="R45" s="12"/>
    </row>
    <row r="46" spans="2:18">
      <c r="H46" s="12"/>
      <c r="I46" s="12"/>
      <c r="J46" s="12"/>
      <c r="K46" s="12"/>
      <c r="L46" s="12"/>
      <c r="M46" s="12"/>
      <c r="N46" s="12"/>
      <c r="O46" s="12"/>
      <c r="P46" s="12"/>
      <c r="Q46" s="12"/>
      <c r="R46" s="12"/>
    </row>
    <row r="47" spans="2:18">
      <c r="H47" s="12"/>
      <c r="I47" s="12"/>
      <c r="J47" s="12"/>
      <c r="K47" s="12"/>
      <c r="L47" s="12"/>
      <c r="M47" s="12"/>
      <c r="N47" s="12"/>
      <c r="O47" s="12"/>
      <c r="P47" s="12"/>
      <c r="Q47" s="12"/>
      <c r="R47" s="12"/>
    </row>
    <row r="48" spans="2:18">
      <c r="H48" s="12"/>
      <c r="I48" s="12"/>
      <c r="J48" s="12"/>
      <c r="K48" s="12"/>
      <c r="L48" s="12"/>
      <c r="M48" s="12"/>
      <c r="N48" s="12"/>
      <c r="O48" s="12"/>
      <c r="P48" s="12"/>
      <c r="Q48" s="12"/>
      <c r="R48" s="12"/>
    </row>
    <row r="49" spans="6:18">
      <c r="H49" s="12"/>
      <c r="I49" s="12"/>
      <c r="J49" s="12"/>
      <c r="K49" s="12"/>
      <c r="L49" s="12"/>
      <c r="M49" s="12"/>
      <c r="N49" s="12"/>
      <c r="O49" s="12"/>
      <c r="P49" s="12"/>
      <c r="Q49" s="12"/>
      <c r="R49" s="12"/>
    </row>
    <row r="50" spans="6:18">
      <c r="H50" s="12"/>
      <c r="I50" s="12"/>
      <c r="J50" s="12"/>
      <c r="K50" s="12"/>
      <c r="L50" s="12"/>
      <c r="M50" s="12"/>
      <c r="N50" s="12"/>
      <c r="O50" s="12"/>
      <c r="P50" s="12"/>
      <c r="Q50" s="12"/>
      <c r="R50" s="12"/>
    </row>
    <row r="51" spans="6:18">
      <c r="F51" s="12"/>
      <c r="G51" s="12"/>
      <c r="H51" s="12"/>
      <c r="I51" s="12"/>
      <c r="J51" s="12"/>
      <c r="K51" s="12"/>
      <c r="L51" s="12"/>
      <c r="M51" s="12"/>
      <c r="N51" s="12"/>
      <c r="O51" s="12"/>
      <c r="P51" s="12"/>
      <c r="Q51" s="12"/>
      <c r="R51" s="12"/>
    </row>
    <row r="52" spans="6:18">
      <c r="F52" s="12"/>
      <c r="G52" s="12"/>
      <c r="H52" s="12"/>
      <c r="I52" s="12"/>
      <c r="J52" s="12"/>
      <c r="K52" s="12"/>
      <c r="L52" s="12"/>
      <c r="M52" s="12"/>
      <c r="N52" s="12"/>
      <c r="O52" s="12"/>
      <c r="P52" s="12"/>
      <c r="Q52" s="12"/>
      <c r="R52" s="12"/>
    </row>
    <row r="53" spans="6:18">
      <c r="F53" s="12"/>
      <c r="G53" s="12"/>
      <c r="H53" s="12"/>
      <c r="I53" s="12"/>
      <c r="J53" s="12"/>
      <c r="K53" s="12"/>
      <c r="L53" s="12"/>
      <c r="M53" s="12"/>
      <c r="N53" s="12"/>
      <c r="O53" s="12"/>
      <c r="P53" s="12"/>
      <c r="Q53" s="12"/>
      <c r="R53" s="12"/>
    </row>
    <row r="54" spans="6:18">
      <c r="F54" s="12"/>
      <c r="G54" s="12"/>
      <c r="H54" s="12"/>
      <c r="I54" s="12"/>
      <c r="J54" s="12"/>
      <c r="K54" s="12"/>
      <c r="L54" s="12"/>
      <c r="M54" s="12"/>
      <c r="N54" s="12"/>
      <c r="O54" s="12"/>
      <c r="P54" s="12"/>
      <c r="Q54" s="12"/>
      <c r="R54" s="12"/>
    </row>
    <row r="55" spans="6:18">
      <c r="F55" s="12"/>
      <c r="G55" s="12"/>
      <c r="H55" s="12"/>
      <c r="I55" s="12"/>
      <c r="J55" s="12"/>
      <c r="K55" s="12"/>
      <c r="L55" s="12"/>
      <c r="M55" s="12"/>
      <c r="N55" s="12"/>
      <c r="O55" s="12"/>
      <c r="P55" s="12"/>
      <c r="Q55" s="12"/>
      <c r="R55" s="12"/>
    </row>
  </sheetData>
  <mergeCells count="3">
    <mergeCell ref="J25:P28"/>
    <mergeCell ref="B2:C7"/>
    <mergeCell ref="J32:O3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dimension ref="A1:D9"/>
  <sheetViews>
    <sheetView topLeftCell="A4" zoomScale="80" zoomScaleNormal="80" workbookViewId="0">
      <selection activeCell="E36" sqref="E36"/>
    </sheetView>
  </sheetViews>
  <sheetFormatPr defaultRowHeight="14.5"/>
  <cols>
    <col min="1" max="1" width="25.90625" bestFit="1" customWidth="1"/>
    <col min="2" max="2" width="12" bestFit="1" customWidth="1"/>
    <col min="3" max="3" width="127.54296875" customWidth="1"/>
    <col min="4" max="4" width="32.36328125" bestFit="1" customWidth="1"/>
  </cols>
  <sheetData>
    <row r="1" spans="1:4">
      <c r="A1" t="s">
        <v>86</v>
      </c>
      <c r="B1" t="s">
        <v>85</v>
      </c>
      <c r="C1" t="s">
        <v>84</v>
      </c>
      <c r="D1" t="s">
        <v>83</v>
      </c>
    </row>
    <row r="2" spans="1:4" ht="43.5">
      <c r="A2" t="s">
        <v>77</v>
      </c>
      <c r="B2" s="66" t="s">
        <v>76</v>
      </c>
      <c r="C2" s="12" t="s">
        <v>82</v>
      </c>
      <c r="D2" t="s">
        <v>78</v>
      </c>
    </row>
    <row r="3" spans="1:4" ht="72.5">
      <c r="A3" t="s">
        <v>77</v>
      </c>
      <c r="B3" t="s">
        <v>76</v>
      </c>
      <c r="C3" s="12" t="s">
        <v>81</v>
      </c>
      <c r="D3" t="s">
        <v>80</v>
      </c>
    </row>
    <row r="4" spans="1:4" ht="233" customHeight="1">
      <c r="A4" t="s">
        <v>77</v>
      </c>
      <c r="B4" t="s">
        <v>76</v>
      </c>
      <c r="C4" s="12" t="s">
        <v>79</v>
      </c>
      <c r="D4" t="s">
        <v>78</v>
      </c>
    </row>
    <row r="5" spans="1:4" ht="116">
      <c r="A5" t="s">
        <v>77</v>
      </c>
      <c r="B5" t="s">
        <v>76</v>
      </c>
      <c r="C5" s="12" t="s">
        <v>112</v>
      </c>
      <c r="D5" t="s">
        <v>75</v>
      </c>
    </row>
    <row r="9" spans="1:4">
      <c r="A9" t="s">
        <v>110</v>
      </c>
      <c r="C9" s="65" t="s">
        <v>111</v>
      </c>
    </row>
  </sheetData>
  <hyperlinks>
    <hyperlink ref="C9" r:id="rId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dimension ref="A1:R51"/>
  <sheetViews>
    <sheetView topLeftCell="A4" workbookViewId="0">
      <selection activeCell="C33" sqref="C33:H33"/>
    </sheetView>
  </sheetViews>
  <sheetFormatPr defaultRowHeight="14.5"/>
  <cols>
    <col min="1" max="1" width="12.26953125" style="15" bestFit="1" customWidth="1"/>
    <col min="2" max="2" width="20.453125" style="13" customWidth="1"/>
    <col min="3" max="3" width="112.08984375" style="13" customWidth="1"/>
  </cols>
  <sheetData>
    <row r="1" spans="1:18">
      <c r="A1" s="9" t="s">
        <v>0</v>
      </c>
      <c r="B1" s="11" t="s">
        <v>71</v>
      </c>
      <c r="C1" s="11" t="s">
        <v>72</v>
      </c>
      <c r="D1" t="s">
        <v>107</v>
      </c>
    </row>
    <row r="2" spans="1:18" ht="87">
      <c r="A2" s="9" t="s">
        <v>70</v>
      </c>
      <c r="B2" s="10" t="s">
        <v>73</v>
      </c>
      <c r="C2" s="10" t="s">
        <v>74</v>
      </c>
      <c r="D2" s="12" t="s">
        <v>87</v>
      </c>
    </row>
    <row r="3" spans="1:18" ht="29">
      <c r="A3" s="9" t="s">
        <v>70</v>
      </c>
      <c r="B3" s="10" t="s">
        <v>106</v>
      </c>
      <c r="C3" s="10" t="s">
        <v>105</v>
      </c>
      <c r="D3" t="s">
        <v>91</v>
      </c>
    </row>
    <row r="4" spans="1:18">
      <c r="A4" s="9" t="s">
        <v>75</v>
      </c>
      <c r="B4" s="10" t="s">
        <v>104</v>
      </c>
      <c r="C4" s="10" t="s">
        <v>103</v>
      </c>
      <c r="D4" t="s">
        <v>100</v>
      </c>
    </row>
    <row r="5" spans="1:18" ht="29">
      <c r="A5" s="9" t="s">
        <v>75</v>
      </c>
      <c r="B5" s="10" t="s">
        <v>102</v>
      </c>
      <c r="C5" s="10" t="s">
        <v>101</v>
      </c>
      <c r="D5" t="s">
        <v>100</v>
      </c>
      <c r="E5" s="12"/>
    </row>
    <row r="6" spans="1:18" ht="43.5">
      <c r="A6" s="9" t="s">
        <v>96</v>
      </c>
      <c r="B6" s="10" t="s">
        <v>99</v>
      </c>
      <c r="C6" s="10" t="s">
        <v>98</v>
      </c>
      <c r="D6" t="s">
        <v>97</v>
      </c>
    </row>
    <row r="7" spans="1:18">
      <c r="A7" s="9" t="s">
        <v>96</v>
      </c>
      <c r="B7" s="10" t="s">
        <v>95</v>
      </c>
      <c r="C7" s="10" t="s">
        <v>92</v>
      </c>
      <c r="D7" t="s">
        <v>91</v>
      </c>
      <c r="E7" s="12"/>
      <c r="F7" s="12"/>
      <c r="G7" s="12"/>
      <c r="H7" s="12"/>
      <c r="I7" s="12"/>
      <c r="J7" s="12"/>
      <c r="K7" s="12"/>
      <c r="L7" s="12"/>
      <c r="M7" s="12"/>
      <c r="N7" s="12"/>
      <c r="O7" s="12"/>
      <c r="P7" s="12"/>
      <c r="Q7" s="12"/>
      <c r="R7" s="12"/>
    </row>
    <row r="8" spans="1:18" ht="29">
      <c r="A8" s="9" t="s">
        <v>94</v>
      </c>
      <c r="B8" s="10" t="s">
        <v>93</v>
      </c>
      <c r="C8" s="10" t="s">
        <v>92</v>
      </c>
      <c r="D8" t="s">
        <v>91</v>
      </c>
      <c r="E8" s="12"/>
      <c r="F8" s="12"/>
      <c r="G8" s="12"/>
      <c r="H8" s="12"/>
      <c r="I8" s="12"/>
      <c r="J8" s="12"/>
      <c r="K8" s="12"/>
      <c r="L8" s="12"/>
      <c r="M8" s="12"/>
      <c r="N8" s="12"/>
      <c r="O8" s="12"/>
      <c r="P8" s="12"/>
      <c r="Q8" s="12"/>
      <c r="R8" s="12"/>
    </row>
    <row r="9" spans="1:18">
      <c r="A9" s="9" t="s">
        <v>90</v>
      </c>
      <c r="B9" s="10" t="s">
        <v>89</v>
      </c>
      <c r="C9" s="10" t="s">
        <v>88</v>
      </c>
      <c r="D9" t="s">
        <v>87</v>
      </c>
      <c r="E9" s="12"/>
      <c r="F9" s="12"/>
      <c r="G9" s="12"/>
      <c r="H9" s="12"/>
      <c r="I9" s="12"/>
      <c r="J9" s="12"/>
      <c r="K9" s="12"/>
      <c r="L9" s="12"/>
      <c r="M9" s="12"/>
      <c r="N9" s="12"/>
      <c r="O9" s="12"/>
      <c r="P9" s="12"/>
      <c r="Q9" s="12"/>
      <c r="R9" s="12"/>
    </row>
    <row r="10" spans="1:18">
      <c r="A10" s="9" t="s">
        <v>96</v>
      </c>
      <c r="B10" s="10" t="s">
        <v>70</v>
      </c>
      <c r="C10" s="10" t="s">
        <v>108</v>
      </c>
      <c r="D10" t="s">
        <v>109</v>
      </c>
      <c r="E10" s="12"/>
      <c r="F10" s="12"/>
      <c r="G10" s="12"/>
      <c r="H10" s="12"/>
      <c r="I10" s="12"/>
      <c r="J10" s="12"/>
      <c r="K10" s="12"/>
      <c r="L10" s="12"/>
      <c r="M10" s="12"/>
      <c r="N10" s="12"/>
      <c r="O10" s="12"/>
      <c r="P10" s="12"/>
      <c r="Q10" s="12"/>
      <c r="R10" s="12"/>
    </row>
    <row r="11" spans="1:18">
      <c r="A11" s="9" t="s">
        <v>75</v>
      </c>
      <c r="B11" s="10" t="s">
        <v>113</v>
      </c>
      <c r="C11" s="10" t="s">
        <v>114</v>
      </c>
      <c r="D11" t="s">
        <v>100</v>
      </c>
      <c r="E11" s="12"/>
      <c r="F11" s="12"/>
      <c r="G11" s="12"/>
      <c r="H11" s="12"/>
      <c r="I11" s="12"/>
      <c r="J11" s="12"/>
      <c r="K11" s="12"/>
      <c r="L11" s="12"/>
      <c r="M11" s="12"/>
      <c r="N11" s="12"/>
      <c r="O11" s="12"/>
      <c r="P11" s="12"/>
      <c r="Q11" s="12"/>
      <c r="R11" s="12"/>
    </row>
    <row r="12" spans="1:18" ht="29">
      <c r="A12" s="9" t="s">
        <v>75</v>
      </c>
      <c r="B12" s="10" t="s">
        <v>116</v>
      </c>
      <c r="C12" s="10" t="s">
        <v>117</v>
      </c>
      <c r="D12" t="s">
        <v>100</v>
      </c>
      <c r="E12" s="12"/>
      <c r="F12" s="12"/>
      <c r="G12" s="12"/>
      <c r="H12" s="12"/>
      <c r="I12" s="12"/>
      <c r="J12" s="12"/>
      <c r="K12" s="12"/>
      <c r="L12" s="12"/>
      <c r="M12" s="12"/>
      <c r="N12" s="12"/>
      <c r="O12" s="12"/>
      <c r="P12" s="12"/>
      <c r="Q12" s="12"/>
      <c r="R12" s="12"/>
    </row>
    <row r="13" spans="1:18" ht="29">
      <c r="A13" s="9" t="s">
        <v>70</v>
      </c>
      <c r="B13" s="10"/>
      <c r="C13" s="10" t="s">
        <v>118</v>
      </c>
      <c r="D13" t="s">
        <v>87</v>
      </c>
      <c r="E13" s="12"/>
      <c r="F13" s="12"/>
      <c r="G13" s="12"/>
      <c r="H13" s="12"/>
      <c r="I13" s="12"/>
      <c r="J13" s="12"/>
      <c r="K13" s="12"/>
      <c r="L13" s="12"/>
      <c r="M13" s="12"/>
      <c r="N13" s="12"/>
      <c r="O13" s="12"/>
      <c r="P13" s="12"/>
      <c r="Q13" s="12"/>
      <c r="R13" s="12"/>
    </row>
    <row r="14" spans="1:18">
      <c r="A14" s="9" t="s">
        <v>90</v>
      </c>
      <c r="B14" s="10" t="s">
        <v>119</v>
      </c>
      <c r="C14" s="10" t="s">
        <v>121</v>
      </c>
      <c r="D14" t="s">
        <v>120</v>
      </c>
      <c r="E14" s="12"/>
      <c r="F14" s="12"/>
      <c r="G14" s="12"/>
      <c r="H14" s="12"/>
      <c r="I14" s="12"/>
      <c r="J14" s="12"/>
      <c r="K14" s="12"/>
      <c r="L14" s="12"/>
      <c r="M14" s="12"/>
      <c r="N14" s="12"/>
      <c r="O14" s="12"/>
      <c r="P14" s="12"/>
      <c r="Q14" s="12"/>
      <c r="R14" s="12"/>
    </row>
    <row r="15" spans="1:18" ht="29">
      <c r="A15" s="9" t="s">
        <v>70</v>
      </c>
      <c r="B15" s="10" t="s">
        <v>130</v>
      </c>
      <c r="C15" s="10"/>
      <c r="D15" t="s">
        <v>87</v>
      </c>
      <c r="E15" s="12"/>
      <c r="F15" s="12"/>
      <c r="G15" s="12"/>
      <c r="H15" s="12"/>
      <c r="I15" s="12"/>
      <c r="J15" s="12"/>
      <c r="K15" s="12"/>
      <c r="L15" s="12"/>
      <c r="M15" s="12"/>
      <c r="N15" s="12"/>
      <c r="O15" s="12"/>
      <c r="P15" s="12"/>
      <c r="Q15" s="12"/>
      <c r="R15" s="12"/>
    </row>
    <row r="16" spans="1:18">
      <c r="C16" s="13" t="s">
        <v>179</v>
      </c>
      <c r="D16" t="s">
        <v>180</v>
      </c>
      <c r="E16" s="12"/>
      <c r="F16" s="12"/>
      <c r="G16" s="12"/>
      <c r="H16" s="12"/>
      <c r="I16" s="12"/>
      <c r="J16" s="12"/>
      <c r="K16" s="12"/>
      <c r="L16" s="12"/>
      <c r="M16" s="12"/>
      <c r="N16" s="12"/>
      <c r="O16" s="12"/>
      <c r="P16" s="12"/>
      <c r="Q16" s="12"/>
      <c r="R16" s="12"/>
    </row>
    <row r="17" spans="3:18">
      <c r="E17" s="12"/>
      <c r="F17" s="12"/>
      <c r="G17" s="12"/>
      <c r="H17" s="12"/>
      <c r="I17" s="12"/>
      <c r="J17" s="12"/>
      <c r="K17" s="12"/>
      <c r="L17" s="12"/>
      <c r="M17" s="12"/>
      <c r="N17" s="12"/>
      <c r="O17" s="12"/>
      <c r="P17" s="12"/>
      <c r="Q17" s="12"/>
      <c r="R17" s="12"/>
    </row>
    <row r="18" spans="3:18">
      <c r="E18" s="12"/>
      <c r="F18" s="12"/>
      <c r="G18" s="12"/>
      <c r="H18" s="12"/>
      <c r="I18" s="12"/>
      <c r="J18" s="12"/>
      <c r="K18" s="12"/>
      <c r="L18" s="12"/>
      <c r="M18" s="12"/>
      <c r="N18" s="12"/>
      <c r="O18" s="12"/>
      <c r="P18" s="12"/>
      <c r="Q18" s="12"/>
      <c r="R18" s="12"/>
    </row>
    <row r="19" spans="3:18" ht="29">
      <c r="C19" s="13" t="s">
        <v>181</v>
      </c>
      <c r="D19" t="s">
        <v>180</v>
      </c>
      <c r="E19" s="12"/>
      <c r="F19" s="12"/>
      <c r="G19" s="12"/>
      <c r="H19" s="12"/>
      <c r="I19" s="12"/>
      <c r="J19" s="12"/>
      <c r="K19" s="12"/>
      <c r="L19" s="12"/>
      <c r="M19" s="12"/>
      <c r="N19" s="12"/>
      <c r="O19" s="12"/>
      <c r="P19" s="12"/>
      <c r="Q19" s="12"/>
      <c r="R19" s="12"/>
    </row>
    <row r="20" spans="3:18">
      <c r="C20" s="13" t="s">
        <v>182</v>
      </c>
      <c r="E20" s="12"/>
      <c r="F20" s="12"/>
      <c r="G20" s="12"/>
      <c r="H20" s="12"/>
      <c r="I20" s="12"/>
      <c r="J20" s="12"/>
      <c r="K20" s="12"/>
      <c r="L20" s="12"/>
      <c r="M20" s="12"/>
      <c r="N20" s="12"/>
      <c r="O20" s="12"/>
      <c r="P20" s="12"/>
      <c r="Q20" s="12"/>
      <c r="R20" s="12"/>
    </row>
    <row r="21" spans="3:18">
      <c r="C21" s="13" t="s">
        <v>183</v>
      </c>
      <c r="E21" s="12"/>
      <c r="F21" s="12"/>
      <c r="G21" s="12"/>
      <c r="H21" s="12"/>
      <c r="I21" s="12"/>
      <c r="J21" s="12"/>
      <c r="K21" s="12"/>
      <c r="L21" s="12"/>
      <c r="M21" s="12"/>
      <c r="N21" s="12"/>
      <c r="O21" s="12"/>
      <c r="P21" s="12"/>
      <c r="Q21" s="12"/>
      <c r="R21" s="12"/>
    </row>
    <row r="22" spans="3:18">
      <c r="C22" s="13" t="s">
        <v>184</v>
      </c>
      <c r="E22" s="12"/>
      <c r="F22" s="12"/>
      <c r="G22" s="12"/>
      <c r="H22" s="12"/>
      <c r="I22" s="12"/>
      <c r="J22" s="12"/>
      <c r="K22" s="12"/>
      <c r="L22" s="12"/>
      <c r="M22" s="12"/>
      <c r="N22" s="12"/>
      <c r="O22" s="12"/>
      <c r="P22" s="12"/>
      <c r="Q22" s="12"/>
      <c r="R22" s="12"/>
    </row>
    <row r="23" spans="3:18">
      <c r="C23" s="13" t="s">
        <v>185</v>
      </c>
      <c r="E23" s="12"/>
      <c r="F23" s="12"/>
      <c r="G23" s="12"/>
      <c r="H23" s="12"/>
      <c r="I23" s="12"/>
      <c r="J23" s="12"/>
      <c r="K23" s="12"/>
      <c r="L23" s="12"/>
      <c r="M23" s="12"/>
      <c r="N23" s="12"/>
      <c r="O23" s="12"/>
      <c r="P23" s="12"/>
      <c r="Q23" s="12"/>
      <c r="R23" s="12"/>
    </row>
    <row r="24" spans="3:18">
      <c r="E24" s="12"/>
      <c r="F24" s="12"/>
      <c r="G24" s="12"/>
      <c r="H24" s="12"/>
      <c r="I24" s="12"/>
      <c r="J24" s="12"/>
      <c r="K24" s="12"/>
      <c r="L24" s="12"/>
      <c r="M24" s="12"/>
      <c r="N24" s="12"/>
      <c r="O24" s="12"/>
      <c r="P24" s="12"/>
      <c r="Q24" s="12"/>
      <c r="R24" s="12"/>
    </row>
    <row r="25" spans="3:18" ht="29">
      <c r="C25" s="13" t="s">
        <v>186</v>
      </c>
      <c r="E25" s="12"/>
      <c r="F25" s="12"/>
      <c r="G25" s="12"/>
      <c r="H25" s="12"/>
      <c r="I25" s="12"/>
      <c r="J25" s="12"/>
      <c r="K25" s="12"/>
      <c r="L25" s="12"/>
      <c r="M25" s="12"/>
      <c r="N25" s="12"/>
      <c r="O25" s="12"/>
      <c r="P25" s="12"/>
      <c r="Q25" s="12"/>
      <c r="R25" s="12"/>
    </row>
    <row r="26" spans="3:18" ht="29">
      <c r="C26" s="13" t="s">
        <v>187</v>
      </c>
      <c r="E26" s="12"/>
      <c r="F26" s="12"/>
      <c r="G26" s="12"/>
      <c r="H26" s="12"/>
      <c r="I26" s="12"/>
      <c r="J26" s="12"/>
      <c r="K26" s="12"/>
      <c r="L26" s="12"/>
      <c r="M26" s="12"/>
      <c r="N26" s="12"/>
      <c r="O26" s="12"/>
      <c r="P26" s="12"/>
      <c r="Q26" s="12"/>
      <c r="R26" s="12"/>
    </row>
    <row r="27" spans="3:18">
      <c r="C27" s="13" t="s">
        <v>188</v>
      </c>
      <c r="E27" s="12"/>
      <c r="F27" s="12"/>
      <c r="G27" s="12"/>
      <c r="H27" s="12"/>
      <c r="I27" s="12"/>
      <c r="J27" s="12"/>
      <c r="K27" s="12"/>
      <c r="L27" s="12"/>
      <c r="M27" s="12"/>
      <c r="N27" s="12"/>
      <c r="O27" s="12"/>
      <c r="P27" s="12"/>
      <c r="Q27" s="12"/>
      <c r="R27" s="12"/>
    </row>
    <row r="28" spans="3:18">
      <c r="C28" s="13" t="s">
        <v>189</v>
      </c>
      <c r="E28" s="12"/>
      <c r="F28" s="12"/>
      <c r="G28" s="12"/>
      <c r="H28" s="12"/>
      <c r="I28" s="12"/>
      <c r="J28" s="12"/>
      <c r="K28" s="12"/>
      <c r="L28" s="12"/>
      <c r="M28" s="12"/>
      <c r="N28" s="12"/>
      <c r="O28" s="12"/>
      <c r="P28" s="12"/>
      <c r="Q28" s="12"/>
      <c r="R28" s="12"/>
    </row>
    <row r="29" spans="3:18">
      <c r="E29" s="12"/>
      <c r="F29" s="12"/>
      <c r="G29" s="12"/>
      <c r="H29" s="12"/>
      <c r="I29" s="12"/>
      <c r="J29" s="12"/>
      <c r="K29" s="12"/>
      <c r="L29" s="12"/>
      <c r="M29" s="12"/>
      <c r="N29" s="12"/>
      <c r="O29" s="12"/>
      <c r="P29" s="12"/>
      <c r="Q29" s="12"/>
      <c r="R29" s="12"/>
    </row>
    <row r="30" spans="3:18">
      <c r="C30" s="13" t="s">
        <v>190</v>
      </c>
    </row>
    <row r="31" spans="3:18">
      <c r="E31" s="12"/>
      <c r="F31" s="12"/>
      <c r="G31" s="12"/>
      <c r="H31" s="12"/>
      <c r="I31" s="12"/>
      <c r="J31" s="12"/>
      <c r="K31" s="12"/>
      <c r="L31" s="12"/>
      <c r="M31" s="12"/>
      <c r="N31" s="12"/>
      <c r="O31" s="12"/>
      <c r="P31" s="12"/>
      <c r="Q31" s="12"/>
      <c r="R31" s="12"/>
    </row>
    <row r="32" spans="3:18">
      <c r="C32" s="13" t="s">
        <v>191</v>
      </c>
      <c r="E32" s="12"/>
      <c r="F32" s="12"/>
      <c r="G32" s="12"/>
      <c r="H32" s="12"/>
      <c r="I32" s="12"/>
      <c r="J32" s="12"/>
      <c r="K32" s="12"/>
      <c r="L32" s="12"/>
      <c r="M32" s="12"/>
      <c r="N32" s="12"/>
      <c r="O32" s="12"/>
      <c r="P32" s="12"/>
      <c r="Q32" s="12"/>
      <c r="R32" s="12"/>
    </row>
    <row r="33" spans="3:18">
      <c r="E33" s="12"/>
      <c r="F33" s="12"/>
      <c r="G33" s="12"/>
      <c r="H33" s="12"/>
      <c r="I33" s="12"/>
      <c r="J33" s="12"/>
      <c r="K33" s="12"/>
      <c r="L33" s="12"/>
      <c r="M33" s="12"/>
      <c r="N33" s="12"/>
      <c r="O33" s="12"/>
      <c r="P33" s="12"/>
      <c r="Q33" s="12"/>
      <c r="R33" s="12"/>
    </row>
    <row r="34" spans="3:18" ht="72.5">
      <c r="C34" s="13" t="s">
        <v>201</v>
      </c>
      <c r="E34" s="12"/>
      <c r="F34" s="12"/>
      <c r="G34" s="12"/>
      <c r="H34" s="12"/>
      <c r="I34" s="12"/>
      <c r="J34" s="12"/>
      <c r="K34" s="12"/>
      <c r="L34" s="12"/>
      <c r="M34" s="12"/>
      <c r="N34" s="12"/>
      <c r="O34" s="12"/>
      <c r="P34" s="12"/>
      <c r="Q34" s="12"/>
      <c r="R34" s="12"/>
    </row>
    <row r="35" spans="3:18">
      <c r="E35" s="12"/>
      <c r="F35" s="12"/>
      <c r="G35" s="12"/>
      <c r="H35" s="12"/>
      <c r="I35" s="12"/>
      <c r="J35" s="12"/>
      <c r="K35" s="12"/>
      <c r="L35" s="12"/>
      <c r="M35" s="12"/>
      <c r="N35" s="12"/>
      <c r="O35" s="12"/>
      <c r="P35" s="12"/>
      <c r="Q35" s="12"/>
      <c r="R35" s="12"/>
    </row>
    <row r="36" spans="3:18" ht="87">
      <c r="C36" s="13" t="s">
        <v>192</v>
      </c>
      <c r="E36" s="12"/>
      <c r="F36" s="12"/>
      <c r="G36" s="12"/>
      <c r="H36" s="12"/>
      <c r="I36" s="12"/>
      <c r="J36" s="12"/>
      <c r="K36" s="12"/>
      <c r="L36" s="12"/>
      <c r="M36" s="12"/>
      <c r="N36" s="12"/>
      <c r="O36" s="12"/>
      <c r="P36" s="12"/>
      <c r="Q36" s="12"/>
      <c r="R36" s="12"/>
    </row>
    <row r="37" spans="3:18" ht="29">
      <c r="C37" s="13" t="s">
        <v>193</v>
      </c>
      <c r="E37" s="12"/>
      <c r="F37" s="12"/>
      <c r="G37" s="12"/>
      <c r="H37" s="12"/>
      <c r="I37" s="12"/>
      <c r="J37" s="12"/>
      <c r="K37" s="12"/>
      <c r="L37" s="12"/>
      <c r="M37" s="12"/>
      <c r="N37" s="12"/>
      <c r="O37" s="12"/>
      <c r="P37" s="12"/>
      <c r="Q37" s="12"/>
      <c r="R37" s="12"/>
    </row>
    <row r="38" spans="3:18">
      <c r="E38" s="12"/>
      <c r="F38" s="12"/>
      <c r="G38" s="12"/>
      <c r="H38" s="12"/>
      <c r="I38" s="12"/>
      <c r="J38" s="12"/>
      <c r="K38" s="12"/>
      <c r="L38" s="12"/>
      <c r="M38" s="12"/>
      <c r="N38" s="12"/>
      <c r="O38" s="12"/>
      <c r="P38" s="12"/>
      <c r="Q38" s="12"/>
      <c r="R38" s="12"/>
    </row>
    <row r="39" spans="3:18">
      <c r="C39" s="13" t="s">
        <v>194</v>
      </c>
      <c r="E39" s="12"/>
      <c r="F39" s="12"/>
      <c r="G39" s="12"/>
      <c r="H39" s="12"/>
      <c r="I39" s="12"/>
      <c r="J39" s="12"/>
      <c r="K39" s="12"/>
      <c r="L39" s="12"/>
      <c r="M39" s="12"/>
      <c r="N39" s="12"/>
      <c r="O39" s="12"/>
      <c r="P39" s="12"/>
      <c r="Q39" s="12"/>
      <c r="R39" s="12"/>
    </row>
    <row r="40" spans="3:18">
      <c r="C40" s="13" t="s">
        <v>196</v>
      </c>
      <c r="E40" s="12"/>
      <c r="F40" s="12"/>
      <c r="G40" s="12"/>
      <c r="H40" s="12"/>
      <c r="I40" s="12"/>
      <c r="J40" s="12"/>
      <c r="K40" s="12"/>
      <c r="L40" s="12"/>
      <c r="M40" s="12"/>
      <c r="N40" s="12"/>
      <c r="O40" s="12"/>
      <c r="P40" s="12"/>
      <c r="Q40" s="12"/>
      <c r="R40" s="12"/>
    </row>
    <row r="41" spans="3:18">
      <c r="C41" s="13" t="s">
        <v>195</v>
      </c>
      <c r="E41" s="12"/>
      <c r="F41" s="12"/>
      <c r="G41" s="12"/>
      <c r="H41" s="12"/>
      <c r="I41" s="12"/>
      <c r="J41" s="12"/>
      <c r="K41" s="12"/>
      <c r="L41" s="12"/>
      <c r="M41" s="12"/>
      <c r="N41" s="12"/>
      <c r="O41" s="12"/>
      <c r="P41" s="12"/>
      <c r="Q41" s="12"/>
      <c r="R41" s="12"/>
    </row>
    <row r="42" spans="3:18" ht="29">
      <c r="C42" s="13" t="s">
        <v>197</v>
      </c>
      <c r="E42" s="12"/>
      <c r="F42" s="12"/>
      <c r="G42" s="12"/>
      <c r="H42" s="12"/>
      <c r="I42" s="12"/>
      <c r="J42" s="12"/>
      <c r="K42" s="12"/>
      <c r="L42" s="12"/>
      <c r="M42" s="12"/>
      <c r="N42" s="12"/>
      <c r="O42" s="12"/>
      <c r="P42" s="12"/>
      <c r="Q42" s="12"/>
      <c r="R42" s="12"/>
    </row>
    <row r="43" spans="3:18" ht="58">
      <c r="C43" s="13" t="s">
        <v>198</v>
      </c>
      <c r="E43" s="12"/>
      <c r="F43" s="12"/>
      <c r="G43" s="12"/>
      <c r="H43" s="12"/>
      <c r="I43" s="12"/>
      <c r="J43" s="12"/>
      <c r="K43" s="12"/>
      <c r="L43" s="12"/>
      <c r="M43" s="12"/>
      <c r="N43" s="12"/>
      <c r="O43" s="12"/>
      <c r="P43" s="12"/>
      <c r="Q43" s="12"/>
      <c r="R43" s="12"/>
    </row>
    <row r="44" spans="3:18" ht="58">
      <c r="C44" s="13" t="s">
        <v>199</v>
      </c>
      <c r="E44" s="12"/>
      <c r="F44" s="12"/>
      <c r="G44" s="12"/>
      <c r="H44" s="12"/>
      <c r="I44" s="12"/>
      <c r="J44" s="12"/>
      <c r="K44" s="12"/>
      <c r="L44" s="12"/>
      <c r="M44" s="12"/>
      <c r="N44" s="12"/>
      <c r="O44" s="12"/>
      <c r="P44" s="12"/>
      <c r="Q44" s="12"/>
      <c r="R44" s="12"/>
    </row>
    <row r="45" spans="3:18">
      <c r="E45" s="12"/>
      <c r="F45" s="12"/>
      <c r="G45" s="12"/>
      <c r="H45" s="12"/>
      <c r="I45" s="12"/>
      <c r="J45" s="12"/>
      <c r="K45" s="12"/>
      <c r="L45" s="12"/>
      <c r="M45" s="12"/>
      <c r="N45" s="12"/>
      <c r="O45" s="12"/>
      <c r="P45" s="12"/>
      <c r="Q45" s="12"/>
      <c r="R45" s="12"/>
    </row>
    <row r="46" spans="3:18" ht="29">
      <c r="C46" s="13" t="s">
        <v>200</v>
      </c>
      <c r="E46" s="12"/>
      <c r="F46" s="12"/>
      <c r="G46" s="12"/>
      <c r="H46" s="12"/>
      <c r="I46" s="12"/>
      <c r="J46" s="12"/>
      <c r="K46" s="12"/>
      <c r="L46" s="12"/>
      <c r="M46" s="12"/>
      <c r="N46" s="12"/>
      <c r="O46" s="12"/>
      <c r="P46" s="12"/>
      <c r="Q46" s="12"/>
      <c r="R46" s="12"/>
    </row>
    <row r="47" spans="3:18">
      <c r="E47" s="12"/>
      <c r="F47" s="12"/>
      <c r="G47" s="12"/>
      <c r="H47" s="12"/>
      <c r="I47" s="12"/>
      <c r="J47" s="12"/>
      <c r="K47" s="12"/>
      <c r="L47" s="12"/>
      <c r="M47" s="12"/>
      <c r="N47" s="12"/>
      <c r="O47" s="12"/>
      <c r="P47" s="12"/>
      <c r="Q47" s="12"/>
      <c r="R47" s="12"/>
    </row>
    <row r="48" spans="3:18" ht="29">
      <c r="C48" s="13" t="s">
        <v>202</v>
      </c>
      <c r="E48" s="12"/>
      <c r="F48" s="12"/>
      <c r="G48" s="12"/>
      <c r="H48" s="12"/>
      <c r="I48" s="12"/>
      <c r="J48" s="12"/>
      <c r="K48" s="12"/>
      <c r="L48" s="12"/>
      <c r="M48" s="12"/>
      <c r="N48" s="12"/>
      <c r="O48" s="12"/>
      <c r="P48" s="12"/>
      <c r="Q48" s="12"/>
      <c r="R48" s="12"/>
    </row>
    <row r="49" spans="3:18">
      <c r="E49" s="12"/>
      <c r="F49" s="12"/>
      <c r="G49" s="12"/>
      <c r="H49" s="12"/>
      <c r="I49" s="12"/>
      <c r="J49" s="12"/>
      <c r="K49" s="12"/>
      <c r="L49" s="12"/>
      <c r="M49" s="12"/>
      <c r="N49" s="12"/>
      <c r="O49" s="12"/>
      <c r="P49" s="12"/>
      <c r="Q49" s="12"/>
      <c r="R49" s="12"/>
    </row>
    <row r="51" spans="3:18">
      <c r="C51" s="13" t="s">
        <v>203</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8"/>
  <dimension ref="B1:P132"/>
  <sheetViews>
    <sheetView showGridLines="0" zoomScaleNormal="100" workbookViewId="0"/>
  </sheetViews>
  <sheetFormatPr defaultColWidth="8.81640625" defaultRowHeight="14.5"/>
  <cols>
    <col min="1" max="1" width="2.90625" style="224" customWidth="1"/>
    <col min="2" max="2" width="3.36328125" style="224" customWidth="1"/>
    <col min="3" max="3" width="39.54296875" style="224" customWidth="1"/>
    <col min="4" max="4" width="2.81640625" style="224" customWidth="1"/>
    <col min="5" max="5" width="19.81640625" style="224" customWidth="1"/>
    <col min="6" max="6" width="19.453125" style="224" customWidth="1"/>
    <col min="7" max="8" width="17.453125" style="224" customWidth="1"/>
    <col min="9" max="9" width="19.453125" style="224" customWidth="1"/>
    <col min="10" max="10" width="2.81640625" style="224" customWidth="1"/>
    <col min="11" max="11" width="20.1796875" style="224" customWidth="1"/>
    <col min="12" max="12" width="22.453125" style="224" customWidth="1"/>
    <col min="13" max="13" width="2.453125" style="224" customWidth="1"/>
    <col min="14" max="14" width="8.81640625" style="224"/>
    <col min="15" max="15" width="2.453125" style="224" customWidth="1"/>
    <col min="16" max="16" width="31.453125" style="224" customWidth="1"/>
    <col min="17" max="17" width="31.1796875" style="224" customWidth="1"/>
    <col min="18" max="18" width="3.453125" style="224" customWidth="1"/>
    <col min="19" max="19" width="25.453125" style="224" customWidth="1"/>
    <col min="20" max="20" width="2" style="224" customWidth="1"/>
    <col min="21" max="21" width="31.6328125" style="224" customWidth="1"/>
    <col min="22" max="22" width="26.6328125" style="224" customWidth="1"/>
    <col min="23" max="23" width="2.36328125" style="224" customWidth="1"/>
    <col min="24" max="16384" width="8.81640625" style="224"/>
  </cols>
  <sheetData>
    <row r="1" spans="2:11" ht="87" customHeight="1">
      <c r="B1" s="17"/>
      <c r="C1" s="509" t="s">
        <v>1106</v>
      </c>
      <c r="D1" s="509"/>
      <c r="E1" s="509"/>
      <c r="F1" s="509"/>
      <c r="G1" s="509"/>
      <c r="H1" s="509"/>
      <c r="I1" s="509"/>
      <c r="J1" s="173"/>
      <c r="K1" s="173"/>
    </row>
    <row r="2" spans="2:11" ht="32" customHeight="1">
      <c r="B2" s="225"/>
      <c r="C2" s="510" t="s">
        <v>1033</v>
      </c>
      <c r="D2" s="510"/>
      <c r="E2" s="510"/>
      <c r="F2" s="510"/>
      <c r="G2" s="226"/>
      <c r="H2" s="226"/>
      <c r="I2" s="226"/>
    </row>
    <row r="3" spans="2:11" ht="23" customHeight="1">
      <c r="B3" s="227"/>
      <c r="C3" s="510"/>
      <c r="D3" s="510"/>
      <c r="E3" s="510"/>
      <c r="F3" s="510"/>
      <c r="G3" s="228"/>
      <c r="H3" s="228"/>
      <c r="I3" s="228"/>
    </row>
    <row r="4" spans="2:11">
      <c r="B4" s="225"/>
      <c r="C4" s="226"/>
      <c r="D4" s="226"/>
      <c r="E4" s="226"/>
      <c r="F4" s="226"/>
      <c r="G4" s="226"/>
      <c r="H4" s="226"/>
      <c r="I4" s="226"/>
    </row>
    <row r="5" spans="2:11" ht="18.5" customHeight="1">
      <c r="B5" s="225"/>
      <c r="C5" s="731" t="s">
        <v>1020</v>
      </c>
      <c r="D5" s="731"/>
      <c r="E5" s="731"/>
      <c r="F5" s="731"/>
      <c r="G5" s="731"/>
      <c r="H5" s="731"/>
      <c r="I5" s="731"/>
    </row>
    <row r="6" spans="2:11" ht="18.5" customHeight="1">
      <c r="B6" s="225"/>
      <c r="C6" s="731"/>
      <c r="D6" s="731"/>
      <c r="E6" s="731"/>
      <c r="F6" s="731"/>
      <c r="G6" s="731"/>
      <c r="H6" s="731"/>
      <c r="I6" s="731"/>
    </row>
    <row r="7" spans="2:11" ht="18.5" customHeight="1">
      <c r="B7" s="225"/>
      <c r="C7" s="731"/>
      <c r="D7" s="731"/>
      <c r="E7" s="731"/>
      <c r="F7" s="731"/>
      <c r="G7" s="731"/>
      <c r="H7" s="731"/>
      <c r="I7" s="731"/>
    </row>
    <row r="8" spans="2:11" ht="18.5" customHeight="1">
      <c r="B8" s="225"/>
      <c r="C8" s="229"/>
      <c r="D8" s="229"/>
      <c r="E8" s="229"/>
      <c r="F8" s="229"/>
      <c r="G8" s="229"/>
      <c r="H8" s="229"/>
      <c r="I8" s="229"/>
    </row>
    <row r="9" spans="2:11">
      <c r="B9" s="225"/>
      <c r="C9" s="727"/>
      <c r="D9" s="727"/>
      <c r="E9" s="262" t="s">
        <v>1322</v>
      </c>
      <c r="F9" s="229"/>
      <c r="G9" s="262" t="s">
        <v>1324</v>
      </c>
      <c r="H9" s="229"/>
      <c r="I9" s="229"/>
    </row>
    <row r="10" spans="2:11" ht="43.5">
      <c r="B10" s="225" t="s">
        <v>59</v>
      </c>
      <c r="C10" s="230" t="s">
        <v>60</v>
      </c>
      <c r="D10" s="230"/>
      <c r="E10" s="230" t="s">
        <v>1320</v>
      </c>
      <c r="F10" s="230" t="s">
        <v>1321</v>
      </c>
      <c r="G10" s="230" t="s">
        <v>1323</v>
      </c>
      <c r="I10" s="225"/>
    </row>
    <row r="11" spans="2:11">
      <c r="B11" s="225">
        <v>1</v>
      </c>
      <c r="C11" s="229" t="s">
        <v>641</v>
      </c>
      <c r="D11" s="229"/>
      <c r="E11" s="231">
        <f>IFERROR(VLOOKUP(C11,'espécies arruamento existentes'!$A:$Q,17,FALSE),"")</f>
        <v>1.5</v>
      </c>
      <c r="F11" s="232">
        <f>IFERROR(E11*0.8,"")</f>
        <v>1.2000000000000002</v>
      </c>
      <c r="G11" s="233">
        <f>IFERROR(PI()*(F11/2)^2,"")</f>
        <v>1.1309733552923258</v>
      </c>
      <c r="I11" s="225"/>
    </row>
    <row r="12" spans="2:11">
      <c r="B12" s="225">
        <v>2</v>
      </c>
      <c r="C12" s="229" t="s">
        <v>442</v>
      </c>
      <c r="D12" s="229"/>
      <c r="E12" s="231">
        <f>IFERROR(VLOOKUP(C12,'espécies arruamento existentes'!$A:$Q,17,FALSE),"")</f>
        <v>2.5</v>
      </c>
      <c r="F12" s="232">
        <f t="shared" ref="F12:F35" si="0">IFERROR(E12*0.8,"")</f>
        <v>2</v>
      </c>
      <c r="G12" s="233">
        <f t="shared" ref="G12:G35" si="1">IFERROR(PI()*(F12/2)^2,"")</f>
        <v>3.1415926535897931</v>
      </c>
      <c r="I12" s="225"/>
    </row>
    <row r="13" spans="2:11">
      <c r="B13" s="225">
        <v>3</v>
      </c>
      <c r="C13" s="229" t="s">
        <v>350</v>
      </c>
      <c r="D13" s="229"/>
      <c r="E13" s="231">
        <f>IFERROR(VLOOKUP(C13,'espécies arruamento existentes'!$A:$Q,17,FALSE),"")</f>
        <v>5</v>
      </c>
      <c r="F13" s="232">
        <f t="shared" si="0"/>
        <v>4</v>
      </c>
      <c r="G13" s="233">
        <f t="shared" si="1"/>
        <v>12.566370614359172</v>
      </c>
      <c r="I13" s="225"/>
    </row>
    <row r="14" spans="2:11">
      <c r="B14" s="225">
        <v>4</v>
      </c>
      <c r="C14" s="229" t="s">
        <v>344</v>
      </c>
      <c r="D14" s="229"/>
      <c r="E14" s="231">
        <f>IFERROR(VLOOKUP(C14,'espécies arruamento existentes'!$A:$Q,17,FALSE),"")</f>
        <v>9</v>
      </c>
      <c r="F14" s="232">
        <f t="shared" si="0"/>
        <v>7.2</v>
      </c>
      <c r="G14" s="233">
        <f t="shared" si="1"/>
        <v>40.715040790523723</v>
      </c>
      <c r="I14" s="225"/>
    </row>
    <row r="15" spans="2:11">
      <c r="B15" s="225">
        <v>5</v>
      </c>
      <c r="C15" s="229" t="s">
        <v>497</v>
      </c>
      <c r="D15" s="229"/>
      <c r="E15" s="231">
        <f>IFERROR(VLOOKUP(C15,'espécies arruamento existentes'!$A:$Q,17,FALSE),"")</f>
        <v>3</v>
      </c>
      <c r="F15" s="232">
        <f t="shared" si="0"/>
        <v>2.4000000000000004</v>
      </c>
      <c r="G15" s="233">
        <f t="shared" si="1"/>
        <v>4.5238934211693032</v>
      </c>
      <c r="I15" s="225"/>
    </row>
    <row r="16" spans="2:11">
      <c r="B16" s="225">
        <v>6</v>
      </c>
      <c r="C16" s="229"/>
      <c r="D16" s="229"/>
      <c r="E16" s="231" t="str">
        <f>IFERROR(VLOOKUP(C16,'espécies arruamento existentes'!$A:$Q,17,FALSE),"")</f>
        <v/>
      </c>
      <c r="F16" s="232" t="str">
        <f t="shared" si="0"/>
        <v/>
      </c>
      <c r="G16" s="233" t="str">
        <f t="shared" si="1"/>
        <v/>
      </c>
      <c r="I16" s="225"/>
    </row>
    <row r="17" spans="2:9">
      <c r="B17" s="225">
        <v>7</v>
      </c>
      <c r="C17" s="229"/>
      <c r="D17" s="229"/>
      <c r="E17" s="231" t="str">
        <f>IFERROR(VLOOKUP(C17,'espécies arruamento existentes'!$A:$Q,17,FALSE),"")</f>
        <v/>
      </c>
      <c r="F17" s="232" t="str">
        <f t="shared" si="0"/>
        <v/>
      </c>
      <c r="G17" s="233" t="str">
        <f t="shared" si="1"/>
        <v/>
      </c>
      <c r="I17" s="225"/>
    </row>
    <row r="18" spans="2:9">
      <c r="B18" s="225">
        <v>8</v>
      </c>
      <c r="C18" s="229"/>
      <c r="D18" s="229"/>
      <c r="E18" s="231" t="str">
        <f>IFERROR(VLOOKUP(C18,'espécies arruamento existentes'!$A:$Q,17,FALSE),"")</f>
        <v/>
      </c>
      <c r="F18" s="232" t="str">
        <f t="shared" si="0"/>
        <v/>
      </c>
      <c r="G18" s="233" t="str">
        <f t="shared" si="1"/>
        <v/>
      </c>
      <c r="I18" s="225"/>
    </row>
    <row r="19" spans="2:9">
      <c r="B19" s="225">
        <v>9</v>
      </c>
      <c r="C19" s="229"/>
      <c r="D19" s="229"/>
      <c r="E19" s="231" t="str">
        <f>IFERROR(VLOOKUP(C19,'espécies arruamento existentes'!$A:$Q,17,FALSE),"")</f>
        <v/>
      </c>
      <c r="F19" s="232" t="str">
        <f t="shared" si="0"/>
        <v/>
      </c>
      <c r="G19" s="233" t="str">
        <f t="shared" si="1"/>
        <v/>
      </c>
      <c r="I19" s="225"/>
    </row>
    <row r="20" spans="2:9">
      <c r="B20" s="225">
        <v>10</v>
      </c>
      <c r="C20" s="229"/>
      <c r="D20" s="229"/>
      <c r="E20" s="231" t="str">
        <f>IFERROR(VLOOKUP(C20,'espécies arruamento existentes'!$A:$Q,17,FALSE),"")</f>
        <v/>
      </c>
      <c r="F20" s="232" t="str">
        <f t="shared" si="0"/>
        <v/>
      </c>
      <c r="G20" s="233" t="str">
        <f t="shared" si="1"/>
        <v/>
      </c>
      <c r="I20" s="225"/>
    </row>
    <row r="21" spans="2:9">
      <c r="B21" s="225">
        <v>11</v>
      </c>
      <c r="C21" s="229"/>
      <c r="D21" s="229"/>
      <c r="E21" s="231" t="str">
        <f>IFERROR(VLOOKUP(C21,'espécies arruamento existentes'!$A:$Q,17,FALSE),"")</f>
        <v/>
      </c>
      <c r="F21" s="232" t="str">
        <f t="shared" si="0"/>
        <v/>
      </c>
      <c r="G21" s="233" t="str">
        <f t="shared" si="1"/>
        <v/>
      </c>
      <c r="I21" s="225"/>
    </row>
    <row r="22" spans="2:9">
      <c r="B22" s="225">
        <v>12</v>
      </c>
      <c r="C22" s="229"/>
      <c r="D22" s="229"/>
      <c r="E22" s="231" t="str">
        <f>IFERROR(VLOOKUP(C22,'espécies arruamento existentes'!$A:$Q,17,FALSE),"")</f>
        <v/>
      </c>
      <c r="F22" s="232" t="str">
        <f t="shared" si="0"/>
        <v/>
      </c>
      <c r="G22" s="233" t="str">
        <f t="shared" si="1"/>
        <v/>
      </c>
      <c r="I22" s="225"/>
    </row>
    <row r="23" spans="2:9">
      <c r="B23" s="225">
        <v>13</v>
      </c>
      <c r="C23" s="229"/>
      <c r="D23" s="229"/>
      <c r="E23" s="231" t="str">
        <f>IFERROR(VLOOKUP(C23,'espécies arruamento existentes'!$A:$Q,17,FALSE),"")</f>
        <v/>
      </c>
      <c r="F23" s="232" t="str">
        <f t="shared" si="0"/>
        <v/>
      </c>
      <c r="G23" s="233" t="str">
        <f t="shared" si="1"/>
        <v/>
      </c>
      <c r="I23" s="225"/>
    </row>
    <row r="24" spans="2:9">
      <c r="B24" s="225">
        <v>14</v>
      </c>
      <c r="C24" s="229"/>
      <c r="D24" s="226"/>
      <c r="E24" s="231" t="str">
        <f>IFERROR(VLOOKUP(C24,'espécies arruamento existentes'!$A:$Q,17,FALSE),"")</f>
        <v/>
      </c>
      <c r="F24" s="232" t="str">
        <f t="shared" si="0"/>
        <v/>
      </c>
      <c r="G24" s="233" t="str">
        <f t="shared" si="1"/>
        <v/>
      </c>
      <c r="I24" s="225"/>
    </row>
    <row r="25" spans="2:9">
      <c r="B25" s="225">
        <v>15</v>
      </c>
      <c r="C25" s="229"/>
      <c r="D25" s="225"/>
      <c r="E25" s="231" t="str">
        <f>IFERROR(VLOOKUP(C25,'espécies arruamento existentes'!$A:$Q,17,FALSE),"")</f>
        <v/>
      </c>
      <c r="F25" s="232" t="str">
        <f t="shared" si="0"/>
        <v/>
      </c>
      <c r="G25" s="233" t="str">
        <f t="shared" si="1"/>
        <v/>
      </c>
      <c r="I25" s="225"/>
    </row>
    <row r="26" spans="2:9">
      <c r="B26" s="225">
        <v>16</v>
      </c>
      <c r="C26" s="229"/>
      <c r="D26" s="226"/>
      <c r="E26" s="231" t="str">
        <f>IFERROR(VLOOKUP(C26,'espécies arruamento existentes'!$A:$Q,17,FALSE),"")</f>
        <v/>
      </c>
      <c r="F26" s="232" t="str">
        <f t="shared" si="0"/>
        <v/>
      </c>
      <c r="G26" s="233" t="str">
        <f t="shared" si="1"/>
        <v/>
      </c>
      <c r="I26" s="225"/>
    </row>
    <row r="27" spans="2:9">
      <c r="B27" s="225">
        <v>17</v>
      </c>
      <c r="C27" s="229"/>
      <c r="D27" s="226"/>
      <c r="E27" s="231" t="str">
        <f>IFERROR(VLOOKUP(C27,'espécies arruamento existentes'!$A:$Q,17,FALSE),"")</f>
        <v/>
      </c>
      <c r="F27" s="232" t="str">
        <f t="shared" si="0"/>
        <v/>
      </c>
      <c r="G27" s="233" t="str">
        <f t="shared" si="1"/>
        <v/>
      </c>
      <c r="I27" s="225"/>
    </row>
    <row r="28" spans="2:9">
      <c r="B28" s="225">
        <v>18</v>
      </c>
      <c r="C28" s="229"/>
      <c r="D28" s="226"/>
      <c r="E28" s="231" t="str">
        <f>IFERROR(VLOOKUP(C28,'espécies arruamento existentes'!$A:$Q,17,FALSE),"")</f>
        <v/>
      </c>
      <c r="F28" s="232" t="str">
        <f t="shared" si="0"/>
        <v/>
      </c>
      <c r="G28" s="233" t="str">
        <f t="shared" si="1"/>
        <v/>
      </c>
      <c r="I28" s="225"/>
    </row>
    <row r="29" spans="2:9">
      <c r="B29" s="225">
        <v>19</v>
      </c>
      <c r="C29" s="229"/>
      <c r="D29" s="226"/>
      <c r="E29" s="231" t="str">
        <f>IFERROR(VLOOKUP(C29,'espécies arruamento existentes'!$A:$Q,17,FALSE),"")</f>
        <v/>
      </c>
      <c r="F29" s="232" t="str">
        <f t="shared" si="0"/>
        <v/>
      </c>
      <c r="G29" s="233" t="str">
        <f t="shared" si="1"/>
        <v/>
      </c>
      <c r="I29" s="225"/>
    </row>
    <row r="30" spans="2:9">
      <c r="B30" s="225">
        <v>20</v>
      </c>
      <c r="C30" s="229"/>
      <c r="D30" s="226"/>
      <c r="E30" s="231" t="str">
        <f>IFERROR(VLOOKUP(C30,'espécies arruamento existentes'!$A:$Q,17,FALSE),"")</f>
        <v/>
      </c>
      <c r="F30" s="232" t="str">
        <f t="shared" si="0"/>
        <v/>
      </c>
      <c r="G30" s="233" t="str">
        <f t="shared" si="1"/>
        <v/>
      </c>
      <c r="I30" s="225"/>
    </row>
    <row r="31" spans="2:9">
      <c r="B31" s="225">
        <v>21</v>
      </c>
      <c r="C31" s="229"/>
      <c r="D31" s="226"/>
      <c r="E31" s="231" t="str">
        <f>IFERROR(VLOOKUP(C31,'espécies arruamento existentes'!$A:$Q,17,FALSE),"")</f>
        <v/>
      </c>
      <c r="F31" s="232" t="str">
        <f t="shared" si="0"/>
        <v/>
      </c>
      <c r="G31" s="233" t="str">
        <f t="shared" si="1"/>
        <v/>
      </c>
      <c r="I31" s="225"/>
    </row>
    <row r="32" spans="2:9">
      <c r="B32" s="225">
        <v>22</v>
      </c>
      <c r="C32" s="229"/>
      <c r="D32" s="226"/>
      <c r="E32" s="231" t="str">
        <f>IFERROR(VLOOKUP(C32,'espécies arruamento existentes'!$A:$Q,17,FALSE),"")</f>
        <v/>
      </c>
      <c r="F32" s="232" t="str">
        <f t="shared" si="0"/>
        <v/>
      </c>
      <c r="G32" s="233" t="str">
        <f t="shared" si="1"/>
        <v/>
      </c>
      <c r="I32" s="225"/>
    </row>
    <row r="33" spans="2:9">
      <c r="B33" s="225">
        <v>23</v>
      </c>
      <c r="C33" s="229"/>
      <c r="D33" s="226"/>
      <c r="E33" s="231" t="str">
        <f>IFERROR(VLOOKUP(C33,'espécies arruamento existentes'!$A:$Q,17,FALSE),"")</f>
        <v/>
      </c>
      <c r="F33" s="232" t="str">
        <f t="shared" si="0"/>
        <v/>
      </c>
      <c r="G33" s="233" t="str">
        <f t="shared" si="1"/>
        <v/>
      </c>
      <c r="I33" s="225"/>
    </row>
    <row r="34" spans="2:9">
      <c r="B34" s="225">
        <v>24</v>
      </c>
      <c r="C34" s="229"/>
      <c r="D34" s="226"/>
      <c r="E34" s="231" t="str">
        <f>IFERROR(VLOOKUP(C34,'espécies arruamento existentes'!$A:$Q,17,FALSE),"")</f>
        <v/>
      </c>
      <c r="F34" s="232" t="str">
        <f t="shared" si="0"/>
        <v/>
      </c>
      <c r="G34" s="233" t="str">
        <f t="shared" si="1"/>
        <v/>
      </c>
      <c r="I34" s="225"/>
    </row>
    <row r="35" spans="2:9">
      <c r="B35" s="225">
        <v>25</v>
      </c>
      <c r="C35" s="229"/>
      <c r="D35" s="226"/>
      <c r="E35" s="231" t="str">
        <f>IFERROR(VLOOKUP(C35,'espécies arruamento existentes'!$A:$Q,17,FALSE),"")</f>
        <v/>
      </c>
      <c r="F35" s="232" t="str">
        <f t="shared" si="0"/>
        <v/>
      </c>
      <c r="G35" s="233" t="str">
        <f t="shared" si="1"/>
        <v/>
      </c>
      <c r="I35" s="225"/>
    </row>
    <row r="36" spans="2:9" ht="43.5">
      <c r="B36" s="225"/>
      <c r="C36" s="230" t="s">
        <v>1175</v>
      </c>
      <c r="D36" s="230"/>
      <c r="E36" s="230" t="s">
        <v>1320</v>
      </c>
      <c r="F36" s="230" t="s">
        <v>1321</v>
      </c>
      <c r="G36" s="230" t="s">
        <v>1323</v>
      </c>
      <c r="H36" s="230" t="s">
        <v>1174</v>
      </c>
      <c r="I36" s="225"/>
    </row>
    <row r="37" spans="2:9">
      <c r="B37" s="225">
        <v>26</v>
      </c>
      <c r="C37" s="229"/>
      <c r="D37" s="226"/>
      <c r="E37" s="259"/>
      <c r="F37" s="232">
        <f>E37*0.8</f>
        <v>0</v>
      </c>
      <c r="G37" s="233">
        <f>PI()*(F37/2)^2</f>
        <v>0</v>
      </c>
      <c r="H37" s="260"/>
      <c r="I37" s="225"/>
    </row>
    <row r="38" spans="2:9">
      <c r="B38" s="225">
        <v>27</v>
      </c>
      <c r="C38" s="229"/>
      <c r="D38" s="226"/>
      <c r="E38" s="259"/>
      <c r="F38" s="232">
        <f t="shared" ref="F38:F47" si="2">E38*0.8</f>
        <v>0</v>
      </c>
      <c r="G38" s="233">
        <f t="shared" ref="G38:G47" si="3">PI()*(F38/2)^2</f>
        <v>0</v>
      </c>
      <c r="H38" s="260"/>
      <c r="I38" s="225"/>
    </row>
    <row r="39" spans="2:9">
      <c r="B39" s="225">
        <v>28</v>
      </c>
      <c r="C39" s="229"/>
      <c r="D39" s="226"/>
      <c r="E39" s="259"/>
      <c r="F39" s="232">
        <f t="shared" si="2"/>
        <v>0</v>
      </c>
      <c r="G39" s="233">
        <f t="shared" si="3"/>
        <v>0</v>
      </c>
      <c r="H39" s="260"/>
      <c r="I39" s="225"/>
    </row>
    <row r="40" spans="2:9">
      <c r="B40" s="225">
        <v>29</v>
      </c>
      <c r="C40" s="229"/>
      <c r="D40" s="226"/>
      <c r="E40" s="259"/>
      <c r="F40" s="232">
        <f t="shared" si="2"/>
        <v>0</v>
      </c>
      <c r="G40" s="233">
        <f t="shared" si="3"/>
        <v>0</v>
      </c>
      <c r="H40" s="260"/>
      <c r="I40" s="225"/>
    </row>
    <row r="41" spans="2:9">
      <c r="B41" s="225">
        <v>30</v>
      </c>
      <c r="C41" s="229"/>
      <c r="D41" s="226"/>
      <c r="E41" s="259"/>
      <c r="F41" s="232">
        <f t="shared" si="2"/>
        <v>0</v>
      </c>
      <c r="G41" s="233">
        <f t="shared" si="3"/>
        <v>0</v>
      </c>
      <c r="H41" s="260"/>
      <c r="I41" s="225"/>
    </row>
    <row r="42" spans="2:9">
      <c r="B42" s="225">
        <v>31</v>
      </c>
      <c r="C42" s="229"/>
      <c r="D42" s="226"/>
      <c r="E42" s="259"/>
      <c r="F42" s="232">
        <f t="shared" si="2"/>
        <v>0</v>
      </c>
      <c r="G42" s="233">
        <f t="shared" si="3"/>
        <v>0</v>
      </c>
      <c r="H42" s="260"/>
      <c r="I42" s="225"/>
    </row>
    <row r="43" spans="2:9">
      <c r="B43" s="225">
        <v>32</v>
      </c>
      <c r="C43" s="229"/>
      <c r="D43" s="226"/>
      <c r="E43" s="259"/>
      <c r="F43" s="232">
        <f t="shared" si="2"/>
        <v>0</v>
      </c>
      <c r="G43" s="233">
        <f t="shared" si="3"/>
        <v>0</v>
      </c>
      <c r="H43" s="260"/>
      <c r="I43" s="225"/>
    </row>
    <row r="44" spans="2:9">
      <c r="B44" s="225">
        <v>33</v>
      </c>
      <c r="C44" s="229"/>
      <c r="D44" s="226"/>
      <c r="E44" s="259"/>
      <c r="F44" s="232">
        <f t="shared" si="2"/>
        <v>0</v>
      </c>
      <c r="G44" s="233">
        <f t="shared" si="3"/>
        <v>0</v>
      </c>
      <c r="H44" s="260"/>
      <c r="I44" s="225"/>
    </row>
    <row r="45" spans="2:9">
      <c r="B45" s="225">
        <v>34</v>
      </c>
      <c r="C45" s="229"/>
      <c r="D45" s="226"/>
      <c r="E45" s="259"/>
      <c r="F45" s="232">
        <f t="shared" si="2"/>
        <v>0</v>
      </c>
      <c r="G45" s="233">
        <f t="shared" si="3"/>
        <v>0</v>
      </c>
      <c r="H45" s="260"/>
      <c r="I45" s="225"/>
    </row>
    <row r="46" spans="2:9">
      <c r="B46" s="225">
        <v>35</v>
      </c>
      <c r="C46" s="229"/>
      <c r="D46" s="226"/>
      <c r="E46" s="259"/>
      <c r="F46" s="232">
        <f t="shared" si="2"/>
        <v>0</v>
      </c>
      <c r="G46" s="233">
        <f t="shared" si="3"/>
        <v>0</v>
      </c>
      <c r="H46" s="260"/>
      <c r="I46" s="225"/>
    </row>
    <row r="47" spans="2:9">
      <c r="B47" s="225">
        <v>36</v>
      </c>
      <c r="C47" s="229"/>
      <c r="D47" s="226"/>
      <c r="E47" s="259"/>
      <c r="F47" s="232">
        <f t="shared" si="2"/>
        <v>0</v>
      </c>
      <c r="G47" s="233">
        <f t="shared" si="3"/>
        <v>0</v>
      </c>
      <c r="H47" s="260"/>
      <c r="I47" s="225"/>
    </row>
    <row r="48" spans="2:9" ht="18.5">
      <c r="B48" s="225"/>
      <c r="C48" s="226"/>
      <c r="D48" s="226"/>
      <c r="E48" s="730" t="s">
        <v>217</v>
      </c>
      <c r="F48" s="730"/>
      <c r="G48" s="234">
        <f>SUM(G37:G47,G11:G35)</f>
        <v>62.077870834934316</v>
      </c>
      <c r="H48" s="225"/>
      <c r="I48" s="225"/>
    </row>
    <row r="49" spans="2:13">
      <c r="B49" s="225"/>
      <c r="C49" s="226"/>
      <c r="D49" s="226"/>
      <c r="E49" s="226"/>
      <c r="F49" s="226"/>
      <c r="G49" s="226"/>
      <c r="H49" s="226"/>
      <c r="I49" s="226"/>
    </row>
    <row r="50" spans="2:13">
      <c r="C50" s="235"/>
      <c r="D50" s="235"/>
      <c r="E50" s="235"/>
      <c r="F50" s="235"/>
      <c r="G50" s="235"/>
      <c r="H50" s="235"/>
      <c r="I50" s="235"/>
    </row>
    <row r="51" spans="2:13">
      <c r="C51" s="236" t="s">
        <v>50</v>
      </c>
      <c r="D51" s="225"/>
      <c r="E51" s="225"/>
      <c r="F51" s="225"/>
      <c r="G51" s="225"/>
      <c r="H51" s="225"/>
      <c r="I51" s="225"/>
    </row>
    <row r="52" spans="2:13">
      <c r="C52" s="225" t="s">
        <v>1022</v>
      </c>
      <c r="D52" s="225"/>
      <c r="E52" s="225"/>
      <c r="F52" s="225"/>
      <c r="G52" s="225"/>
      <c r="H52" s="225"/>
      <c r="I52" s="225"/>
    </row>
    <row r="53" spans="2:13">
      <c r="C53" s="225"/>
      <c r="D53" s="225"/>
      <c r="E53" s="225"/>
      <c r="F53" s="225"/>
      <c r="G53" s="225"/>
      <c r="H53" s="225"/>
      <c r="I53" s="225"/>
    </row>
    <row r="55" spans="2:13" ht="29.5" customHeight="1">
      <c r="C55" s="729"/>
      <c r="D55" s="237"/>
      <c r="E55" s="237"/>
      <c r="F55" s="237"/>
      <c r="G55" s="237"/>
      <c r="H55" s="237"/>
      <c r="I55" s="237"/>
      <c r="J55" s="237"/>
      <c r="K55" s="237"/>
      <c r="L55" s="235"/>
      <c r="M55" s="235"/>
    </row>
    <row r="56" spans="2:13" s="238" customFormat="1" ht="29.5" customHeight="1">
      <c r="C56" s="729"/>
      <c r="D56" s="239"/>
      <c r="E56" s="240"/>
      <c r="F56" s="240"/>
      <c r="G56" s="240"/>
      <c r="H56" s="240"/>
      <c r="I56" s="240"/>
      <c r="J56" s="240"/>
      <c r="K56" s="240"/>
      <c r="L56" s="241"/>
      <c r="M56" s="241"/>
    </row>
    <row r="57" spans="2:13">
      <c r="C57" s="237"/>
      <c r="D57" s="237"/>
      <c r="E57" s="237"/>
      <c r="F57" s="237"/>
      <c r="G57" s="237"/>
      <c r="H57" s="237"/>
      <c r="I57" s="237"/>
      <c r="J57" s="237"/>
      <c r="K57" s="237"/>
      <c r="L57" s="237"/>
      <c r="M57" s="237"/>
    </row>
    <row r="58" spans="2:13">
      <c r="C58" s="728"/>
      <c r="D58" s="728"/>
      <c r="E58" s="728"/>
      <c r="F58" s="728"/>
      <c r="G58" s="728"/>
      <c r="H58" s="728"/>
      <c r="I58" s="728"/>
      <c r="J58" s="242"/>
      <c r="K58" s="237"/>
      <c r="L58" s="237"/>
      <c r="M58" s="237"/>
    </row>
    <row r="59" spans="2:13" ht="21.75" customHeight="1">
      <c r="C59" s="725"/>
      <c r="D59" s="725"/>
      <c r="E59" s="725"/>
      <c r="F59" s="725"/>
      <c r="G59" s="725"/>
      <c r="H59" s="725"/>
      <c r="I59" s="725"/>
      <c r="J59" s="243"/>
      <c r="K59" s="237"/>
      <c r="L59" s="237"/>
      <c r="M59" s="237"/>
    </row>
    <row r="60" spans="2:13" ht="24" customHeight="1">
      <c r="C60" s="725"/>
      <c r="D60" s="725"/>
      <c r="E60" s="725"/>
      <c r="F60" s="725"/>
      <c r="G60" s="725"/>
      <c r="H60" s="725"/>
      <c r="I60" s="725"/>
      <c r="J60" s="244"/>
      <c r="K60" s="237"/>
      <c r="L60" s="237"/>
      <c r="M60" s="237"/>
    </row>
    <row r="61" spans="2:13">
      <c r="C61" s="245"/>
      <c r="D61" s="237"/>
      <c r="E61" s="246"/>
      <c r="F61" s="246"/>
      <c r="G61" s="246"/>
      <c r="H61" s="246"/>
      <c r="I61" s="246"/>
      <c r="J61" s="237"/>
      <c r="K61" s="237"/>
      <c r="L61" s="237"/>
      <c r="M61" s="237"/>
    </row>
    <row r="62" spans="2:13">
      <c r="C62" s="247"/>
      <c r="D62" s="247"/>
      <c r="E62" s="247"/>
      <c r="F62" s="247"/>
      <c r="G62" s="247"/>
      <c r="H62" s="247"/>
      <c r="I62" s="247"/>
      <c r="J62" s="237"/>
      <c r="K62" s="237"/>
      <c r="L62" s="237"/>
      <c r="M62" s="237"/>
    </row>
    <row r="63" spans="2:13" ht="16.5" customHeight="1">
      <c r="C63" s="246"/>
      <c r="D63" s="246"/>
      <c r="E63" s="246"/>
      <c r="F63" s="248"/>
      <c r="G63" s="248"/>
      <c r="H63" s="248"/>
      <c r="I63" s="249"/>
      <c r="J63" s="237"/>
      <c r="K63" s="237"/>
      <c r="L63" s="237"/>
      <c r="M63" s="237"/>
    </row>
    <row r="64" spans="2:13" ht="16.5" customHeight="1">
      <c r="C64" s="246"/>
      <c r="D64" s="246"/>
      <c r="E64" s="246"/>
      <c r="F64" s="248"/>
      <c r="G64" s="248"/>
      <c r="H64" s="248"/>
      <c r="I64" s="249"/>
      <c r="J64" s="237"/>
      <c r="K64" s="237"/>
      <c r="L64" s="237"/>
      <c r="M64" s="237"/>
    </row>
    <row r="65" spans="3:13" ht="16.5" customHeight="1">
      <c r="C65" s="246"/>
      <c r="D65" s="246"/>
      <c r="E65" s="246"/>
      <c r="F65" s="248"/>
      <c r="G65" s="248"/>
      <c r="H65" s="248"/>
      <c r="I65" s="249"/>
      <c r="J65" s="237"/>
      <c r="K65" s="237"/>
      <c r="L65" s="237"/>
      <c r="M65" s="237"/>
    </row>
    <row r="66" spans="3:13" ht="16.5" customHeight="1">
      <c r="C66" s="246"/>
      <c r="D66" s="246"/>
      <c r="E66" s="246"/>
      <c r="F66" s="248"/>
      <c r="G66" s="248"/>
      <c r="H66" s="248"/>
      <c r="I66" s="249"/>
      <c r="J66" s="237"/>
      <c r="K66" s="237"/>
      <c r="L66" s="237"/>
      <c r="M66" s="237"/>
    </row>
    <row r="67" spans="3:13" ht="16.5" customHeight="1">
      <c r="C67" s="246"/>
      <c r="D67" s="246"/>
      <c r="E67" s="246"/>
      <c r="F67" s="248"/>
      <c r="G67" s="248"/>
      <c r="H67" s="248"/>
      <c r="I67" s="249"/>
      <c r="J67" s="237"/>
      <c r="K67" s="237"/>
      <c r="L67" s="237"/>
      <c r="M67" s="237"/>
    </row>
    <row r="68" spans="3:13" ht="16.5" customHeight="1">
      <c r="C68" s="246"/>
      <c r="D68" s="246"/>
      <c r="E68" s="246"/>
      <c r="F68" s="248"/>
      <c r="G68" s="248"/>
      <c r="H68" s="248"/>
      <c r="I68" s="249"/>
      <c r="J68" s="237"/>
      <c r="K68" s="237"/>
      <c r="L68" s="237"/>
      <c r="M68" s="237"/>
    </row>
    <row r="69" spans="3:13" ht="16.5" customHeight="1">
      <c r="C69" s="246"/>
      <c r="D69" s="246"/>
      <c r="E69" s="246"/>
      <c r="F69" s="248"/>
      <c r="G69" s="248"/>
      <c r="H69" s="248"/>
      <c r="I69" s="249"/>
      <c r="J69" s="237"/>
      <c r="K69" s="237"/>
      <c r="L69" s="237"/>
      <c r="M69" s="237"/>
    </row>
    <row r="70" spans="3:13" ht="16.5" customHeight="1">
      <c r="C70" s="246"/>
      <c r="D70" s="246"/>
      <c r="E70" s="246"/>
      <c r="F70" s="248"/>
      <c r="G70" s="248"/>
      <c r="H70" s="248"/>
      <c r="I70" s="249"/>
      <c r="J70" s="237"/>
      <c r="K70" s="237"/>
      <c r="L70" s="237"/>
      <c r="M70" s="237"/>
    </row>
    <row r="71" spans="3:13" ht="16.5" customHeight="1">
      <c r="C71" s="246"/>
      <c r="D71" s="246"/>
      <c r="E71" s="246"/>
      <c r="F71" s="248"/>
      <c r="G71" s="248"/>
      <c r="H71" s="248"/>
      <c r="I71" s="249"/>
      <c r="J71" s="237"/>
      <c r="K71" s="237"/>
      <c r="L71" s="237"/>
      <c r="M71" s="237"/>
    </row>
    <row r="72" spans="3:13" ht="16.5" customHeight="1">
      <c r="C72" s="246"/>
      <c r="D72" s="246"/>
      <c r="E72" s="246"/>
      <c r="F72" s="248"/>
      <c r="G72" s="248"/>
      <c r="H72" s="248"/>
      <c r="I72" s="249"/>
      <c r="J72" s="237"/>
      <c r="K72" s="237"/>
      <c r="L72" s="237"/>
      <c r="M72" s="237"/>
    </row>
    <row r="73" spans="3:13" ht="16.5" customHeight="1">
      <c r="C73" s="246"/>
      <c r="D73" s="246"/>
      <c r="E73" s="246"/>
      <c r="F73" s="248"/>
      <c r="G73" s="248"/>
      <c r="H73" s="248"/>
      <c r="I73" s="249"/>
      <c r="J73" s="237"/>
      <c r="K73" s="237"/>
      <c r="L73" s="237"/>
      <c r="M73" s="237"/>
    </row>
    <row r="74" spans="3:13">
      <c r="C74" s="246"/>
      <c r="D74" s="246"/>
      <c r="E74" s="246"/>
      <c r="F74" s="248"/>
      <c r="G74" s="248"/>
      <c r="H74" s="248"/>
      <c r="I74" s="249"/>
      <c r="J74" s="250"/>
      <c r="K74" s="237"/>
      <c r="L74" s="237"/>
      <c r="M74" s="237"/>
    </row>
    <row r="75" spans="3:13">
      <c r="C75" s="246"/>
      <c r="D75" s="246"/>
      <c r="E75" s="246"/>
      <c r="F75" s="248"/>
      <c r="G75" s="248"/>
      <c r="H75" s="248"/>
      <c r="I75" s="249"/>
      <c r="J75" s="237"/>
      <c r="K75" s="237"/>
      <c r="L75" s="237"/>
      <c r="M75" s="237"/>
    </row>
    <row r="76" spans="3:13">
      <c r="C76" s="246"/>
      <c r="D76" s="237"/>
      <c r="E76" s="246"/>
      <c r="F76" s="248"/>
      <c r="G76" s="248"/>
      <c r="H76" s="248"/>
      <c r="I76" s="249"/>
      <c r="J76" s="237"/>
      <c r="K76" s="237"/>
      <c r="L76" s="237"/>
      <c r="M76" s="237"/>
    </row>
    <row r="77" spans="3:13">
      <c r="C77" s="246"/>
      <c r="E77" s="246"/>
      <c r="F77" s="248"/>
      <c r="G77" s="248"/>
      <c r="H77" s="248"/>
      <c r="I77" s="249"/>
      <c r="J77" s="237"/>
      <c r="K77" s="237"/>
      <c r="L77" s="237"/>
      <c r="M77" s="237"/>
    </row>
    <row r="78" spans="3:13">
      <c r="C78" s="246"/>
      <c r="D78" s="237"/>
      <c r="E78" s="246"/>
      <c r="F78" s="248"/>
      <c r="G78" s="248"/>
      <c r="H78" s="248"/>
      <c r="I78" s="249"/>
      <c r="J78" s="237"/>
      <c r="K78" s="237"/>
      <c r="L78" s="237"/>
      <c r="M78" s="237"/>
    </row>
    <row r="79" spans="3:13" ht="28.5" customHeight="1">
      <c r="C79" s="246"/>
      <c r="D79" s="237"/>
      <c r="E79" s="246"/>
      <c r="F79" s="248"/>
      <c r="G79" s="248"/>
      <c r="H79" s="248"/>
      <c r="I79" s="249"/>
      <c r="J79" s="237"/>
      <c r="K79" s="237"/>
      <c r="L79" s="237"/>
      <c r="M79" s="251"/>
    </row>
    <row r="80" spans="3:13" ht="28.5" customHeight="1">
      <c r="C80" s="246"/>
      <c r="D80" s="237"/>
      <c r="E80" s="246"/>
      <c r="F80" s="248"/>
      <c r="G80" s="248"/>
      <c r="H80" s="248"/>
      <c r="I80" s="249"/>
      <c r="J80" s="237"/>
      <c r="K80" s="237"/>
      <c r="L80" s="237"/>
      <c r="M80" s="251"/>
    </row>
    <row r="81" spans="3:13" ht="28.5" customHeight="1">
      <c r="C81" s="246"/>
      <c r="D81" s="237"/>
      <c r="E81" s="246"/>
      <c r="F81" s="248"/>
      <c r="G81" s="248"/>
      <c r="H81" s="248"/>
      <c r="I81" s="249"/>
      <c r="J81" s="237"/>
      <c r="K81" s="237"/>
      <c r="L81" s="237"/>
      <c r="M81" s="251"/>
    </row>
    <row r="82" spans="3:13" ht="28.5" customHeight="1">
      <c r="C82" s="246"/>
      <c r="D82" s="237"/>
      <c r="E82" s="246"/>
      <c r="F82" s="248"/>
      <c r="G82" s="248"/>
      <c r="H82" s="248"/>
      <c r="I82" s="249"/>
      <c r="J82" s="237"/>
      <c r="K82" s="237"/>
      <c r="L82" s="237"/>
      <c r="M82" s="251"/>
    </row>
    <row r="83" spans="3:13" ht="28.5" customHeight="1">
      <c r="C83" s="246"/>
      <c r="D83" s="237"/>
      <c r="E83" s="246"/>
      <c r="F83" s="248"/>
      <c r="G83" s="248"/>
      <c r="H83" s="248"/>
      <c r="I83" s="249"/>
      <c r="J83" s="237"/>
      <c r="K83" s="237"/>
      <c r="L83" s="237"/>
      <c r="M83" s="251"/>
    </row>
    <row r="84" spans="3:13" ht="28.5" customHeight="1">
      <c r="C84" s="246"/>
      <c r="D84" s="237"/>
      <c r="E84" s="246"/>
      <c r="F84" s="248"/>
      <c r="G84" s="248"/>
      <c r="H84" s="248"/>
      <c r="I84" s="249"/>
      <c r="J84" s="237"/>
      <c r="K84" s="237"/>
      <c r="L84" s="237"/>
      <c r="M84" s="251"/>
    </row>
    <row r="85" spans="3:13" ht="20.25" customHeight="1">
      <c r="C85" s="246"/>
      <c r="D85" s="237"/>
      <c r="E85" s="246"/>
      <c r="F85" s="248"/>
      <c r="G85" s="248"/>
      <c r="H85" s="248"/>
      <c r="I85" s="249"/>
      <c r="J85" s="237"/>
      <c r="K85" s="237"/>
      <c r="L85" s="237"/>
      <c r="M85" s="252"/>
    </row>
    <row r="86" spans="3:13">
      <c r="C86" s="246"/>
      <c r="D86" s="237"/>
      <c r="E86" s="246"/>
      <c r="F86" s="248"/>
      <c r="G86" s="248"/>
      <c r="H86" s="248"/>
      <c r="I86" s="249"/>
      <c r="J86" s="237"/>
      <c r="K86" s="237"/>
      <c r="L86" s="237"/>
      <c r="M86" s="252"/>
    </row>
    <row r="87" spans="3:13">
      <c r="C87" s="246"/>
      <c r="D87" s="237"/>
      <c r="E87" s="246"/>
      <c r="F87" s="248"/>
      <c r="G87" s="248"/>
      <c r="H87" s="248"/>
      <c r="I87" s="249"/>
      <c r="J87" s="237"/>
      <c r="K87" s="237"/>
      <c r="L87" s="237"/>
      <c r="M87" s="252"/>
    </row>
    <row r="88" spans="3:13" ht="18.5">
      <c r="C88" s="237"/>
      <c r="D88" s="237"/>
      <c r="E88" s="237"/>
      <c r="F88" s="726"/>
      <c r="G88" s="726"/>
      <c r="H88" s="253"/>
      <c r="I88" s="254"/>
      <c r="J88" s="237"/>
      <c r="K88" s="237"/>
      <c r="L88" s="237"/>
      <c r="M88" s="252"/>
    </row>
    <row r="89" spans="3:13">
      <c r="C89" s="237"/>
      <c r="D89" s="237"/>
      <c r="E89" s="237"/>
      <c r="F89" s="237"/>
      <c r="G89" s="237"/>
      <c r="H89" s="237"/>
      <c r="I89" s="237"/>
      <c r="J89" s="237"/>
      <c r="K89" s="237"/>
      <c r="L89" s="237"/>
      <c r="M89" s="237"/>
    </row>
    <row r="90" spans="3:13">
      <c r="C90" s="237"/>
      <c r="D90" s="237"/>
      <c r="E90" s="237"/>
      <c r="F90" s="237"/>
      <c r="G90" s="237"/>
      <c r="H90" s="237"/>
      <c r="I90" s="237"/>
      <c r="J90" s="237"/>
      <c r="K90" s="237"/>
      <c r="L90" s="237"/>
      <c r="M90" s="237"/>
    </row>
    <row r="91" spans="3:13">
      <c r="C91" s="255"/>
      <c r="J91" s="237"/>
      <c r="K91" s="240"/>
      <c r="L91" s="235"/>
      <c r="M91" s="235"/>
    </row>
    <row r="92" spans="3:13">
      <c r="J92" s="237"/>
      <c r="K92" s="237"/>
      <c r="L92" s="235"/>
      <c r="M92" s="235"/>
    </row>
    <row r="93" spans="3:13">
      <c r="L93" s="256"/>
      <c r="M93" s="256"/>
    </row>
    <row r="95" spans="3:13" ht="30" customHeight="1"/>
    <row r="96" spans="3:13" ht="23" customHeight="1">
      <c r="C96" s="729"/>
      <c r="D96" s="237"/>
      <c r="E96" s="237"/>
      <c r="F96" s="237"/>
      <c r="G96" s="237"/>
      <c r="H96" s="237"/>
      <c r="I96" s="237"/>
    </row>
    <row r="97" spans="2:16" ht="23" customHeight="1">
      <c r="B97" s="238"/>
      <c r="C97" s="729"/>
      <c r="D97" s="239"/>
      <c r="E97" s="240"/>
      <c r="F97" s="240"/>
      <c r="G97" s="240"/>
      <c r="H97" s="240"/>
      <c r="I97" s="240"/>
    </row>
    <row r="98" spans="2:16">
      <c r="C98" s="237"/>
      <c r="D98" s="237"/>
      <c r="E98" s="237"/>
      <c r="F98" s="237"/>
      <c r="G98" s="237"/>
      <c r="H98" s="237"/>
      <c r="I98" s="237"/>
    </row>
    <row r="99" spans="2:16">
      <c r="C99" s="728"/>
      <c r="D99" s="728"/>
      <c r="E99" s="728"/>
      <c r="F99" s="728"/>
      <c r="G99" s="728"/>
      <c r="H99" s="728"/>
      <c r="I99" s="728"/>
      <c r="P99" s="257"/>
    </row>
    <row r="100" spans="2:16">
      <c r="C100" s="725"/>
      <c r="D100" s="725"/>
      <c r="E100" s="725"/>
      <c r="F100" s="725"/>
      <c r="G100" s="725"/>
      <c r="H100" s="725"/>
      <c r="I100" s="725"/>
    </row>
    <row r="101" spans="2:16">
      <c r="C101" s="725"/>
      <c r="D101" s="725"/>
      <c r="E101" s="725"/>
      <c r="F101" s="725"/>
      <c r="G101" s="725"/>
      <c r="H101" s="725"/>
      <c r="I101" s="725"/>
    </row>
    <row r="102" spans="2:16">
      <c r="C102" s="245"/>
      <c r="D102" s="237"/>
      <c r="E102" s="246"/>
      <c r="F102" s="246"/>
      <c r="G102" s="246"/>
      <c r="H102" s="246"/>
      <c r="I102" s="246"/>
    </row>
    <row r="103" spans="2:16">
      <c r="C103" s="247"/>
      <c r="D103" s="247"/>
      <c r="E103" s="247"/>
      <c r="F103" s="247"/>
      <c r="G103" s="247"/>
      <c r="H103" s="247"/>
      <c r="I103" s="247"/>
    </row>
    <row r="104" spans="2:16">
      <c r="C104" s="246"/>
      <c r="D104" s="246"/>
      <c r="E104" s="246"/>
      <c r="F104" s="248"/>
      <c r="G104" s="248"/>
      <c r="H104" s="248"/>
      <c r="I104" s="249"/>
      <c r="J104" s="258"/>
    </row>
    <row r="105" spans="2:16">
      <c r="C105" s="246"/>
      <c r="D105" s="246"/>
      <c r="E105" s="246"/>
      <c r="F105" s="248"/>
      <c r="G105" s="248"/>
      <c r="H105" s="248"/>
      <c r="I105" s="249"/>
      <c r="J105" s="258"/>
    </row>
    <row r="106" spans="2:16">
      <c r="C106" s="246"/>
      <c r="D106" s="246"/>
      <c r="E106" s="246"/>
      <c r="F106" s="248"/>
      <c r="G106" s="248"/>
      <c r="H106" s="248"/>
      <c r="I106" s="249"/>
      <c r="J106" s="258"/>
    </row>
    <row r="107" spans="2:16">
      <c r="C107" s="246"/>
      <c r="D107" s="246"/>
      <c r="E107" s="246"/>
      <c r="F107" s="248"/>
      <c r="G107" s="248"/>
      <c r="H107" s="248"/>
      <c r="I107" s="249"/>
    </row>
    <row r="108" spans="2:16">
      <c r="C108" s="246"/>
      <c r="D108" s="246"/>
      <c r="E108" s="246"/>
      <c r="F108" s="248"/>
      <c r="G108" s="248"/>
      <c r="H108" s="248"/>
      <c r="I108" s="249"/>
    </row>
    <row r="109" spans="2:16">
      <c r="C109" s="246"/>
      <c r="D109" s="246"/>
      <c r="E109" s="246"/>
      <c r="F109" s="248"/>
      <c r="G109" s="248"/>
      <c r="H109" s="248"/>
      <c r="I109" s="249"/>
    </row>
    <row r="110" spans="2:16">
      <c r="C110" s="246"/>
      <c r="D110" s="246"/>
      <c r="E110" s="246"/>
      <c r="F110" s="248"/>
      <c r="G110" s="248"/>
      <c r="H110" s="248"/>
      <c r="I110" s="249"/>
    </row>
    <row r="111" spans="2:16">
      <c r="C111" s="246"/>
      <c r="D111" s="246"/>
      <c r="E111" s="246"/>
      <c r="F111" s="248"/>
      <c r="G111" s="248"/>
      <c r="H111" s="248"/>
      <c r="I111" s="249"/>
    </row>
    <row r="112" spans="2:16">
      <c r="C112" s="246"/>
      <c r="D112" s="246"/>
      <c r="E112" s="246"/>
      <c r="F112" s="248"/>
      <c r="G112" s="248"/>
      <c r="H112" s="248"/>
      <c r="I112" s="249"/>
    </row>
    <row r="113" spans="3:9">
      <c r="C113" s="246"/>
      <c r="D113" s="246"/>
      <c r="E113" s="246"/>
      <c r="F113" s="248"/>
      <c r="G113" s="248"/>
      <c r="H113" s="248"/>
      <c r="I113" s="249"/>
    </row>
    <row r="114" spans="3:9">
      <c r="C114" s="246"/>
      <c r="D114" s="246"/>
      <c r="E114" s="246"/>
      <c r="F114" s="248"/>
      <c r="G114" s="248"/>
      <c r="H114" s="248"/>
      <c r="I114" s="249"/>
    </row>
    <row r="115" spans="3:9">
      <c r="C115" s="246"/>
      <c r="D115" s="246"/>
      <c r="E115" s="246"/>
      <c r="F115" s="248"/>
      <c r="G115" s="248"/>
      <c r="H115" s="248"/>
      <c r="I115" s="249"/>
    </row>
    <row r="116" spans="3:9">
      <c r="C116" s="246"/>
      <c r="D116" s="246"/>
      <c r="E116" s="246"/>
      <c r="F116" s="248"/>
      <c r="G116" s="248"/>
      <c r="H116" s="248"/>
      <c r="I116" s="249"/>
    </row>
    <row r="117" spans="3:9">
      <c r="C117" s="237"/>
      <c r="D117" s="237"/>
      <c r="E117" s="246"/>
      <c r="F117" s="248"/>
      <c r="G117" s="248"/>
      <c r="H117" s="248"/>
      <c r="I117" s="249"/>
    </row>
    <row r="118" spans="3:9">
      <c r="C118" s="246"/>
      <c r="E118" s="246"/>
      <c r="F118" s="248"/>
      <c r="G118" s="248"/>
      <c r="H118" s="248"/>
      <c r="I118" s="249"/>
    </row>
    <row r="119" spans="3:9">
      <c r="C119" s="237"/>
      <c r="D119" s="237"/>
      <c r="E119" s="246"/>
      <c r="F119" s="248"/>
      <c r="G119" s="248"/>
      <c r="H119" s="248"/>
      <c r="I119" s="249"/>
    </row>
    <row r="120" spans="3:9">
      <c r="C120" s="237"/>
      <c r="D120" s="237"/>
      <c r="E120" s="246"/>
      <c r="F120" s="248"/>
      <c r="G120" s="248"/>
      <c r="H120" s="248"/>
      <c r="I120" s="249"/>
    </row>
    <row r="121" spans="3:9">
      <c r="C121" s="237"/>
      <c r="D121" s="237"/>
      <c r="E121" s="246"/>
      <c r="F121" s="248"/>
      <c r="G121" s="248"/>
      <c r="H121" s="248"/>
      <c r="I121" s="249"/>
    </row>
    <row r="122" spans="3:9">
      <c r="C122" s="237"/>
      <c r="D122" s="237"/>
      <c r="E122" s="246"/>
      <c r="F122" s="248"/>
      <c r="G122" s="248"/>
      <c r="H122" s="248"/>
      <c r="I122" s="249"/>
    </row>
    <row r="123" spans="3:9">
      <c r="C123" s="237"/>
      <c r="D123" s="237"/>
      <c r="E123" s="246"/>
      <c r="F123" s="248"/>
      <c r="G123" s="248"/>
      <c r="H123" s="248"/>
      <c r="I123" s="249"/>
    </row>
    <row r="124" spans="3:9">
      <c r="C124" s="237"/>
      <c r="D124" s="237"/>
      <c r="E124" s="246"/>
      <c r="F124" s="248"/>
      <c r="G124" s="248"/>
      <c r="H124" s="248"/>
      <c r="I124" s="249"/>
    </row>
    <row r="125" spans="3:9">
      <c r="C125" s="237"/>
      <c r="D125" s="237"/>
      <c r="E125" s="246"/>
      <c r="F125" s="248"/>
      <c r="G125" s="248"/>
      <c r="H125" s="248"/>
      <c r="I125" s="249"/>
    </row>
    <row r="126" spans="3:9">
      <c r="C126" s="237"/>
      <c r="D126" s="237"/>
      <c r="E126" s="246"/>
      <c r="F126" s="248"/>
      <c r="G126" s="248"/>
      <c r="H126" s="248"/>
      <c r="I126" s="249"/>
    </row>
    <row r="127" spans="3:9">
      <c r="C127" s="237"/>
      <c r="D127" s="237"/>
      <c r="E127" s="246"/>
      <c r="F127" s="248"/>
      <c r="G127" s="248"/>
      <c r="H127" s="248"/>
      <c r="I127" s="249"/>
    </row>
    <row r="128" spans="3:9">
      <c r="C128" s="237"/>
      <c r="D128" s="237"/>
      <c r="E128" s="246"/>
      <c r="F128" s="248"/>
      <c r="G128" s="248"/>
      <c r="H128" s="248"/>
      <c r="I128" s="249"/>
    </row>
    <row r="129" spans="3:9" ht="18.5">
      <c r="C129" s="237"/>
      <c r="D129" s="237"/>
      <c r="E129" s="237"/>
      <c r="F129" s="726"/>
      <c r="G129" s="726"/>
      <c r="H129" s="253"/>
      <c r="I129" s="254"/>
    </row>
    <row r="130" spans="3:9">
      <c r="C130" s="237"/>
      <c r="D130" s="237"/>
      <c r="E130" s="237"/>
      <c r="F130" s="237"/>
      <c r="G130" s="237"/>
      <c r="H130" s="237"/>
      <c r="I130" s="237"/>
    </row>
    <row r="131" spans="3:9">
      <c r="C131" s="237"/>
      <c r="D131" s="237"/>
      <c r="E131" s="237"/>
      <c r="F131" s="237"/>
      <c r="G131" s="237"/>
      <c r="H131" s="237"/>
      <c r="I131" s="237"/>
    </row>
    <row r="132" spans="3:9">
      <c r="C132" s="255"/>
    </row>
  </sheetData>
  <mergeCells count="15">
    <mergeCell ref="C1:I1"/>
    <mergeCell ref="C2:F3"/>
    <mergeCell ref="C100:I100"/>
    <mergeCell ref="C101:I101"/>
    <mergeCell ref="F129:G129"/>
    <mergeCell ref="C9:D9"/>
    <mergeCell ref="C58:I58"/>
    <mergeCell ref="C59:I59"/>
    <mergeCell ref="C60:I60"/>
    <mergeCell ref="F88:G88"/>
    <mergeCell ref="C96:C97"/>
    <mergeCell ref="C99:I99"/>
    <mergeCell ref="E48:F48"/>
    <mergeCell ref="C55:C56"/>
    <mergeCell ref="C5:I7"/>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'espécies arruamento existentes'!$A$2:$A$209</xm:f>
          </x14:formula1>
          <xm:sqref>C11:C35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dimension ref="B1:O132"/>
  <sheetViews>
    <sheetView showGridLines="0" topLeftCell="A10" zoomScale="115" zoomScaleNormal="115" workbookViewId="0">
      <selection activeCell="C37" sqref="C37"/>
    </sheetView>
  </sheetViews>
  <sheetFormatPr defaultColWidth="8.81640625" defaultRowHeight="14.5"/>
  <cols>
    <col min="1" max="1" width="2.81640625" customWidth="1"/>
    <col min="2" max="2" width="3.36328125" customWidth="1"/>
    <col min="3" max="3" width="40.81640625" customWidth="1"/>
    <col min="4" max="4" width="2.81640625" customWidth="1"/>
    <col min="5" max="5" width="19.81640625" customWidth="1"/>
    <col min="6" max="6" width="19.453125" customWidth="1"/>
    <col min="7" max="7" width="17.453125" customWidth="1"/>
    <col min="8" max="8" width="19.453125" customWidth="1"/>
    <col min="9" max="9" width="2.81640625" customWidth="1"/>
    <col min="10" max="10" width="20.1796875" customWidth="1"/>
    <col min="11" max="11" width="22.453125" customWidth="1"/>
    <col min="12" max="12" width="2.453125" customWidth="1"/>
    <col min="14" max="14" width="2.453125" customWidth="1"/>
    <col min="15" max="15" width="31.453125" customWidth="1"/>
    <col min="16" max="16" width="31.1796875" customWidth="1"/>
    <col min="17" max="17" width="3.453125" customWidth="1"/>
    <col min="18" max="18" width="25.453125" customWidth="1"/>
    <col min="19" max="19" width="2" customWidth="1"/>
    <col min="20" max="20" width="31.6328125" customWidth="1"/>
    <col min="21" max="21" width="26.6328125" customWidth="1"/>
    <col min="22" max="22" width="2.36328125" customWidth="1"/>
  </cols>
  <sheetData>
    <row r="1" spans="2:10" ht="100" customHeight="1">
      <c r="B1" s="17"/>
      <c r="C1" s="509" t="s">
        <v>1106</v>
      </c>
      <c r="D1" s="509"/>
      <c r="E1" s="509"/>
      <c r="F1" s="509"/>
      <c r="G1" s="509"/>
      <c r="H1" s="509"/>
      <c r="I1" s="173"/>
      <c r="J1" s="173"/>
    </row>
    <row r="2" spans="2:10" ht="26.5" customHeight="1">
      <c r="B2" s="5"/>
      <c r="C2" s="510" t="s">
        <v>1113</v>
      </c>
      <c r="D2" s="510"/>
      <c r="E2" s="510"/>
      <c r="F2" s="510"/>
      <c r="G2" s="510"/>
      <c r="H2" s="41"/>
    </row>
    <row r="3" spans="2:10" ht="26.5" customHeight="1">
      <c r="B3" s="43"/>
      <c r="C3" s="510"/>
      <c r="D3" s="510"/>
      <c r="E3" s="510"/>
      <c r="F3" s="510"/>
      <c r="G3" s="510"/>
      <c r="H3" s="45"/>
    </row>
    <row r="4" spans="2:10" ht="16" customHeight="1">
      <c r="B4" s="43"/>
      <c r="C4" s="116"/>
      <c r="D4" s="116"/>
      <c r="E4" s="116"/>
      <c r="F4" s="45"/>
      <c r="G4" s="45"/>
      <c r="H4" s="45"/>
    </row>
    <row r="5" spans="2:10" ht="19" customHeight="1">
      <c r="B5" s="5"/>
      <c r="C5" s="736" t="s">
        <v>1109</v>
      </c>
      <c r="D5" s="736"/>
      <c r="E5" s="736"/>
      <c r="F5" s="736"/>
      <c r="G5" s="736"/>
      <c r="H5" s="736"/>
    </row>
    <row r="6" spans="2:10" ht="19" customHeight="1">
      <c r="B6" s="5"/>
      <c r="C6" s="736"/>
      <c r="D6" s="736"/>
      <c r="E6" s="736"/>
      <c r="F6" s="736"/>
      <c r="G6" s="736"/>
      <c r="H6" s="736"/>
    </row>
    <row r="7" spans="2:10" ht="19" customHeight="1">
      <c r="B7" s="5"/>
      <c r="C7" s="736"/>
      <c r="D7" s="736"/>
      <c r="E7" s="736"/>
      <c r="F7" s="736"/>
      <c r="G7" s="736"/>
      <c r="H7" s="736"/>
    </row>
    <row r="8" spans="2:10" ht="19" customHeight="1">
      <c r="B8" s="5"/>
      <c r="C8" s="736"/>
      <c r="D8" s="736"/>
      <c r="E8" s="736"/>
      <c r="F8" s="736"/>
      <c r="G8" s="736"/>
      <c r="H8" s="736"/>
    </row>
    <row r="9" spans="2:10">
      <c r="B9" s="5"/>
      <c r="C9" s="60" t="s">
        <v>1021</v>
      </c>
      <c r="D9" s="60">
        <f>COUNTA(C11:C35)</f>
        <v>5</v>
      </c>
      <c r="E9" s="59"/>
      <c r="F9" s="59"/>
      <c r="G9" s="59"/>
      <c r="H9" s="59"/>
    </row>
    <row r="10" spans="2:10" ht="43.5">
      <c r="B10" s="5" t="s">
        <v>59</v>
      </c>
      <c r="C10" s="61" t="s">
        <v>60</v>
      </c>
      <c r="D10" s="61"/>
      <c r="E10" s="230" t="s">
        <v>1320</v>
      </c>
      <c r="F10" s="230" t="s">
        <v>1321</v>
      </c>
      <c r="G10" s="230" t="s">
        <v>1323</v>
      </c>
      <c r="H10" s="5"/>
    </row>
    <row r="11" spans="2:10">
      <c r="B11" s="5">
        <v>1</v>
      </c>
      <c r="C11" s="229" t="s">
        <v>641</v>
      </c>
      <c r="D11" s="59"/>
      <c r="E11" s="131">
        <f>IFERROR(VLOOKUP(C11,'espécies arruamento existentes'!$A:$Q,17,FALSE),"")</f>
        <v>1.5</v>
      </c>
      <c r="F11" s="62">
        <f>IFERROR(E11*0.8,"")</f>
        <v>1.2000000000000002</v>
      </c>
      <c r="G11" s="63">
        <f>IFERROR(PI()*(F11/2)^2,"")</f>
        <v>1.1309733552923258</v>
      </c>
      <c r="H11" s="5"/>
    </row>
    <row r="12" spans="2:10">
      <c r="B12" s="5">
        <v>2</v>
      </c>
      <c r="C12" s="229" t="s">
        <v>442</v>
      </c>
      <c r="D12" s="59"/>
      <c r="E12" s="131">
        <f>IFERROR(VLOOKUP(C12,'espécies arruamento existentes'!$A:$Q,17,FALSE),"")</f>
        <v>2.5</v>
      </c>
      <c r="F12" s="62">
        <f t="shared" ref="F12:F35" si="0">IFERROR(E12*0.8,"")</f>
        <v>2</v>
      </c>
      <c r="G12" s="63">
        <f t="shared" ref="G12:G35" si="1">IFERROR(PI()*(F12/2)^2,"")</f>
        <v>3.1415926535897931</v>
      </c>
      <c r="H12" s="5"/>
    </row>
    <row r="13" spans="2:10">
      <c r="B13" s="5">
        <v>3</v>
      </c>
      <c r="C13" s="229" t="s">
        <v>350</v>
      </c>
      <c r="D13" s="59"/>
      <c r="E13" s="131">
        <f>IFERROR(VLOOKUP(C13,'espécies arruamento existentes'!$A:$Q,17,FALSE),"")</f>
        <v>5</v>
      </c>
      <c r="F13" s="62">
        <f t="shared" si="0"/>
        <v>4</v>
      </c>
      <c r="G13" s="63">
        <f t="shared" si="1"/>
        <v>12.566370614359172</v>
      </c>
      <c r="H13" s="5"/>
    </row>
    <row r="14" spans="2:10">
      <c r="B14" s="5">
        <v>4</v>
      </c>
      <c r="C14" s="229" t="s">
        <v>344</v>
      </c>
      <c r="D14" s="59"/>
      <c r="E14" s="131">
        <f>IFERROR(VLOOKUP(C14,'espécies arruamento existentes'!$A:$Q,17,FALSE),"")</f>
        <v>9</v>
      </c>
      <c r="F14" s="62">
        <f t="shared" si="0"/>
        <v>7.2</v>
      </c>
      <c r="G14" s="63">
        <f t="shared" si="1"/>
        <v>40.715040790523723</v>
      </c>
      <c r="H14" s="5"/>
    </row>
    <row r="15" spans="2:10">
      <c r="B15" s="5">
        <v>5</v>
      </c>
      <c r="C15" s="229" t="s">
        <v>476</v>
      </c>
      <c r="D15" s="59"/>
      <c r="E15" s="131">
        <f>IFERROR(VLOOKUP(C15,'espécies arruamento existentes'!$A:$Q,17,FALSE),"")</f>
        <v>18</v>
      </c>
      <c r="F15" s="62">
        <f t="shared" si="0"/>
        <v>14.4</v>
      </c>
      <c r="G15" s="63">
        <f t="shared" si="1"/>
        <v>162.86016316209489</v>
      </c>
      <c r="H15" s="5"/>
    </row>
    <row r="16" spans="2:10">
      <c r="B16" s="5">
        <v>6</v>
      </c>
      <c r="C16" s="229"/>
      <c r="D16" s="59"/>
      <c r="E16" s="131" t="str">
        <f>IFERROR(VLOOKUP(C16,'espécies arruamento existentes'!$A:$Q,17,FALSE),"")</f>
        <v/>
      </c>
      <c r="F16" s="62" t="str">
        <f t="shared" si="0"/>
        <v/>
      </c>
      <c r="G16" s="63" t="str">
        <f t="shared" si="1"/>
        <v/>
      </c>
      <c r="H16" s="5"/>
    </row>
    <row r="17" spans="2:8">
      <c r="B17" s="5">
        <v>7</v>
      </c>
      <c r="C17" s="59"/>
      <c r="D17" s="59"/>
      <c r="E17" s="131" t="str">
        <f>IFERROR(VLOOKUP(C17,'espécies arruamento existentes'!$A:$Q,17,FALSE),"")</f>
        <v/>
      </c>
      <c r="F17" s="62" t="str">
        <f t="shared" si="0"/>
        <v/>
      </c>
      <c r="G17" s="63" t="str">
        <f t="shared" si="1"/>
        <v/>
      </c>
      <c r="H17" s="5"/>
    </row>
    <row r="18" spans="2:8">
      <c r="B18" s="5">
        <v>8</v>
      </c>
      <c r="C18" s="59"/>
      <c r="D18" s="59"/>
      <c r="E18" s="131" t="str">
        <f>IFERROR(VLOOKUP(C18,'espécies arruamento existentes'!$A:$Q,17,FALSE),"")</f>
        <v/>
      </c>
      <c r="F18" s="62" t="str">
        <f t="shared" si="0"/>
        <v/>
      </c>
      <c r="G18" s="63" t="str">
        <f t="shared" si="1"/>
        <v/>
      </c>
      <c r="H18" s="5"/>
    </row>
    <row r="19" spans="2:8">
      <c r="B19" s="5">
        <v>9</v>
      </c>
      <c r="C19" s="59"/>
      <c r="D19" s="59"/>
      <c r="E19" s="131" t="str">
        <f>IFERROR(VLOOKUP(C19,'espécies arruamento existentes'!$A:$Q,17,FALSE),"")</f>
        <v/>
      </c>
      <c r="F19" s="62" t="str">
        <f t="shared" si="0"/>
        <v/>
      </c>
      <c r="G19" s="63" t="str">
        <f t="shared" si="1"/>
        <v/>
      </c>
      <c r="H19" s="5"/>
    </row>
    <row r="20" spans="2:8">
      <c r="B20" s="5">
        <v>10</v>
      </c>
      <c r="C20" s="59"/>
      <c r="D20" s="59"/>
      <c r="E20" s="131" t="str">
        <f>IFERROR(VLOOKUP(C20,'espécies arruamento existentes'!$A:$Q,17,FALSE),"")</f>
        <v/>
      </c>
      <c r="F20" s="62" t="str">
        <f t="shared" si="0"/>
        <v/>
      </c>
      <c r="G20" s="63" t="str">
        <f t="shared" si="1"/>
        <v/>
      </c>
      <c r="H20" s="5"/>
    </row>
    <row r="21" spans="2:8">
      <c r="B21" s="5">
        <v>11</v>
      </c>
      <c r="C21" s="59"/>
      <c r="D21" s="59"/>
      <c r="E21" s="131" t="str">
        <f>IFERROR(VLOOKUP(C21,'espécies arruamento existentes'!$A:$Q,17,FALSE),"")</f>
        <v/>
      </c>
      <c r="F21" s="62" t="str">
        <f t="shared" si="0"/>
        <v/>
      </c>
      <c r="G21" s="63" t="str">
        <f t="shared" si="1"/>
        <v/>
      </c>
      <c r="H21" s="5"/>
    </row>
    <row r="22" spans="2:8">
      <c r="B22" s="5">
        <v>12</v>
      </c>
      <c r="C22" s="59"/>
      <c r="D22" s="59"/>
      <c r="E22" s="131" t="str">
        <f>IFERROR(VLOOKUP(C22,'espécies arruamento existentes'!$A:$Q,17,FALSE),"")</f>
        <v/>
      </c>
      <c r="F22" s="62" t="str">
        <f t="shared" si="0"/>
        <v/>
      </c>
      <c r="G22" s="63" t="str">
        <f t="shared" si="1"/>
        <v/>
      </c>
      <c r="H22" s="5"/>
    </row>
    <row r="23" spans="2:8">
      <c r="B23" s="5">
        <v>13</v>
      </c>
      <c r="C23" s="59"/>
      <c r="D23" s="59"/>
      <c r="E23" s="131" t="str">
        <f>IFERROR(VLOOKUP(C23,'espécies arruamento existentes'!$A:$Q,17,FALSE),"")</f>
        <v/>
      </c>
      <c r="F23" s="62" t="str">
        <f t="shared" si="0"/>
        <v/>
      </c>
      <c r="G23" s="63" t="str">
        <f t="shared" si="1"/>
        <v/>
      </c>
      <c r="H23" s="5"/>
    </row>
    <row r="24" spans="2:8">
      <c r="B24" s="5">
        <v>14</v>
      </c>
      <c r="C24" s="59"/>
      <c r="D24" s="41"/>
      <c r="E24" s="131" t="str">
        <f>IFERROR(VLOOKUP(C24,'espécies arruamento existentes'!$A:$Q,17,FALSE),"")</f>
        <v/>
      </c>
      <c r="F24" s="62" t="str">
        <f t="shared" si="0"/>
        <v/>
      </c>
      <c r="G24" s="63" t="str">
        <f t="shared" si="1"/>
        <v/>
      </c>
      <c r="H24" s="5"/>
    </row>
    <row r="25" spans="2:8">
      <c r="B25" s="5">
        <v>15</v>
      </c>
      <c r="C25" s="59"/>
      <c r="D25" s="5"/>
      <c r="E25" s="131" t="str">
        <f>IFERROR(VLOOKUP(C25,'espécies arruamento existentes'!$A:$Q,17,FALSE),"")</f>
        <v/>
      </c>
      <c r="F25" s="62" t="str">
        <f t="shared" si="0"/>
        <v/>
      </c>
      <c r="G25" s="63" t="str">
        <f t="shared" si="1"/>
        <v/>
      </c>
      <c r="H25" s="5"/>
    </row>
    <row r="26" spans="2:8">
      <c r="B26" s="5">
        <v>16</v>
      </c>
      <c r="C26" s="59"/>
      <c r="D26" s="41"/>
      <c r="E26" s="131" t="str">
        <f>IFERROR(VLOOKUP(C26,'espécies arruamento existentes'!$A:$Q,17,FALSE),"")</f>
        <v/>
      </c>
      <c r="F26" s="62" t="str">
        <f t="shared" si="0"/>
        <v/>
      </c>
      <c r="G26" s="63" t="str">
        <f t="shared" si="1"/>
        <v/>
      </c>
      <c r="H26" s="5"/>
    </row>
    <row r="27" spans="2:8">
      <c r="B27" s="5">
        <v>17</v>
      </c>
      <c r="C27" s="59"/>
      <c r="D27" s="41"/>
      <c r="E27" s="131" t="str">
        <f>IFERROR(VLOOKUP(C27,'espécies arruamento existentes'!$A:$Q,17,FALSE),"")</f>
        <v/>
      </c>
      <c r="F27" s="62" t="str">
        <f t="shared" si="0"/>
        <v/>
      </c>
      <c r="G27" s="63" t="str">
        <f t="shared" si="1"/>
        <v/>
      </c>
      <c r="H27" s="5"/>
    </row>
    <row r="28" spans="2:8">
      <c r="B28" s="5">
        <v>18</v>
      </c>
      <c r="C28" s="59"/>
      <c r="D28" s="41"/>
      <c r="E28" s="131" t="str">
        <f>IFERROR(VLOOKUP(C28,'espécies arruamento existentes'!$A:$Q,17,FALSE),"")</f>
        <v/>
      </c>
      <c r="F28" s="62" t="str">
        <f t="shared" si="0"/>
        <v/>
      </c>
      <c r="G28" s="63" t="str">
        <f t="shared" si="1"/>
        <v/>
      </c>
      <c r="H28" s="5"/>
    </row>
    <row r="29" spans="2:8">
      <c r="B29" s="5">
        <v>19</v>
      </c>
      <c r="C29" s="59"/>
      <c r="D29" s="41"/>
      <c r="E29" s="131" t="str">
        <f>IFERROR(VLOOKUP(C29,'espécies arruamento existentes'!$A:$Q,17,FALSE),"")</f>
        <v/>
      </c>
      <c r="F29" s="62" t="str">
        <f t="shared" si="0"/>
        <v/>
      </c>
      <c r="G29" s="63" t="str">
        <f t="shared" si="1"/>
        <v/>
      </c>
      <c r="H29" s="5"/>
    </row>
    <row r="30" spans="2:8">
      <c r="B30" s="5">
        <v>20</v>
      </c>
      <c r="C30" s="59"/>
      <c r="D30" s="41"/>
      <c r="E30" s="131" t="str">
        <f>IFERROR(VLOOKUP(C30,'espécies arruamento existentes'!$A:$Q,17,FALSE),"")</f>
        <v/>
      </c>
      <c r="F30" s="62" t="str">
        <f t="shared" si="0"/>
        <v/>
      </c>
      <c r="G30" s="63" t="str">
        <f t="shared" si="1"/>
        <v/>
      </c>
      <c r="H30" s="5"/>
    </row>
    <row r="31" spans="2:8">
      <c r="B31" s="5">
        <v>21</v>
      </c>
      <c r="C31" s="59"/>
      <c r="D31" s="41"/>
      <c r="E31" s="131" t="str">
        <f>IFERROR(VLOOKUP(C31,'espécies arruamento existentes'!$A:$Q,17,FALSE),"")</f>
        <v/>
      </c>
      <c r="F31" s="62" t="str">
        <f t="shared" si="0"/>
        <v/>
      </c>
      <c r="G31" s="63" t="str">
        <f t="shared" si="1"/>
        <v/>
      </c>
      <c r="H31" s="5"/>
    </row>
    <row r="32" spans="2:8">
      <c r="B32" s="5">
        <v>22</v>
      </c>
      <c r="C32" s="59"/>
      <c r="D32" s="41"/>
      <c r="E32" s="131" t="str">
        <f>IFERROR(VLOOKUP(C32,'espécies arruamento existentes'!$A:$Q,17,FALSE),"")</f>
        <v/>
      </c>
      <c r="F32" s="62" t="str">
        <f t="shared" si="0"/>
        <v/>
      </c>
      <c r="G32" s="63" t="str">
        <f t="shared" si="1"/>
        <v/>
      </c>
      <c r="H32" s="5"/>
    </row>
    <row r="33" spans="2:9">
      <c r="B33" s="5">
        <v>23</v>
      </c>
      <c r="C33" s="59"/>
      <c r="D33" s="41"/>
      <c r="E33" s="131" t="str">
        <f>IFERROR(VLOOKUP(C33,'espécies arruamento existentes'!$A:$Q,17,FALSE),"")</f>
        <v/>
      </c>
      <c r="F33" s="62" t="str">
        <f t="shared" si="0"/>
        <v/>
      </c>
      <c r="G33" s="63" t="str">
        <f t="shared" si="1"/>
        <v/>
      </c>
      <c r="H33" s="5"/>
    </row>
    <row r="34" spans="2:9">
      <c r="B34" s="5">
        <v>24</v>
      </c>
      <c r="C34" s="59"/>
      <c r="D34" s="41"/>
      <c r="E34" s="131" t="str">
        <f>IFERROR(VLOOKUP(C34,'espécies arruamento existentes'!$A:$Q,17,FALSE),"")</f>
        <v/>
      </c>
      <c r="F34" s="62" t="str">
        <f t="shared" si="0"/>
        <v/>
      </c>
      <c r="G34" s="63" t="str">
        <f t="shared" si="1"/>
        <v/>
      </c>
      <c r="H34" s="5"/>
    </row>
    <row r="35" spans="2:9">
      <c r="B35" s="5">
        <v>25</v>
      </c>
      <c r="C35" s="59"/>
      <c r="D35" s="41"/>
      <c r="E35" s="131" t="str">
        <f>IFERROR(VLOOKUP(C35,'espécies arruamento existentes'!$A:$Q,17,FALSE),"")</f>
        <v/>
      </c>
      <c r="F35" s="62" t="str">
        <f t="shared" si="0"/>
        <v/>
      </c>
      <c r="G35" s="63" t="str">
        <f t="shared" si="1"/>
        <v/>
      </c>
      <c r="H35" s="5"/>
    </row>
    <row r="36" spans="2:9" s="224" customFormat="1" ht="43.5">
      <c r="B36" s="225"/>
      <c r="C36" s="230" t="s">
        <v>1175</v>
      </c>
      <c r="D36" s="230"/>
      <c r="E36" s="230" t="s">
        <v>1320</v>
      </c>
      <c r="F36" s="230" t="s">
        <v>1321</v>
      </c>
      <c r="G36" s="230" t="s">
        <v>1323</v>
      </c>
      <c r="H36" s="230" t="s">
        <v>1174</v>
      </c>
      <c r="I36" s="225"/>
    </row>
    <row r="37" spans="2:9" s="224" customFormat="1">
      <c r="B37" s="225">
        <v>26</v>
      </c>
      <c r="C37" s="229"/>
      <c r="D37" s="226"/>
      <c r="E37" s="259"/>
      <c r="F37" s="232">
        <f>E37*0.8</f>
        <v>0</v>
      </c>
      <c r="G37" s="63">
        <f>PI()*(F37/2)^2</f>
        <v>0</v>
      </c>
      <c r="H37" s="260"/>
      <c r="I37" s="225"/>
    </row>
    <row r="38" spans="2:9" s="224" customFormat="1">
      <c r="B38" s="225">
        <v>27</v>
      </c>
      <c r="C38" s="229"/>
      <c r="D38" s="226"/>
      <c r="E38" s="259"/>
      <c r="F38" s="232">
        <f t="shared" ref="F38:F47" si="2">E38*0.8</f>
        <v>0</v>
      </c>
      <c r="G38" s="63">
        <f t="shared" ref="G38:G47" si="3">PI()*(F38/2)^2</f>
        <v>0</v>
      </c>
      <c r="H38" s="260"/>
      <c r="I38" s="225"/>
    </row>
    <row r="39" spans="2:9" s="224" customFormat="1">
      <c r="B39" s="225">
        <v>28</v>
      </c>
      <c r="C39" s="229"/>
      <c r="D39" s="226"/>
      <c r="E39" s="259"/>
      <c r="F39" s="232">
        <f t="shared" si="2"/>
        <v>0</v>
      </c>
      <c r="G39" s="63">
        <f t="shared" si="3"/>
        <v>0</v>
      </c>
      <c r="H39" s="260"/>
      <c r="I39" s="225"/>
    </row>
    <row r="40" spans="2:9" s="224" customFormat="1">
      <c r="B40" s="225">
        <v>29</v>
      </c>
      <c r="C40" s="229"/>
      <c r="D40" s="226"/>
      <c r="E40" s="259"/>
      <c r="F40" s="232">
        <f t="shared" si="2"/>
        <v>0</v>
      </c>
      <c r="G40" s="63">
        <f t="shared" si="3"/>
        <v>0</v>
      </c>
      <c r="H40" s="260"/>
      <c r="I40" s="225"/>
    </row>
    <row r="41" spans="2:9" s="224" customFormat="1">
      <c r="B41" s="225">
        <v>30</v>
      </c>
      <c r="C41" s="229"/>
      <c r="D41" s="226"/>
      <c r="E41" s="259"/>
      <c r="F41" s="232">
        <f t="shared" si="2"/>
        <v>0</v>
      </c>
      <c r="G41" s="63">
        <f t="shared" si="3"/>
        <v>0</v>
      </c>
      <c r="H41" s="260"/>
      <c r="I41" s="225"/>
    </row>
    <row r="42" spans="2:9" s="224" customFormat="1">
      <c r="B42" s="225">
        <v>31</v>
      </c>
      <c r="C42" s="229"/>
      <c r="D42" s="226"/>
      <c r="E42" s="259"/>
      <c r="F42" s="232">
        <f t="shared" si="2"/>
        <v>0</v>
      </c>
      <c r="G42" s="63">
        <f t="shared" si="3"/>
        <v>0</v>
      </c>
      <c r="H42" s="260"/>
      <c r="I42" s="225"/>
    </row>
    <row r="43" spans="2:9" s="224" customFormat="1">
      <c r="B43" s="225">
        <v>32</v>
      </c>
      <c r="C43" s="229"/>
      <c r="D43" s="226"/>
      <c r="E43" s="259"/>
      <c r="F43" s="232">
        <f t="shared" si="2"/>
        <v>0</v>
      </c>
      <c r="G43" s="63">
        <f t="shared" si="3"/>
        <v>0</v>
      </c>
      <c r="H43" s="260"/>
      <c r="I43" s="225"/>
    </row>
    <row r="44" spans="2:9" s="224" customFormat="1">
      <c r="B44" s="225">
        <v>33</v>
      </c>
      <c r="C44" s="229"/>
      <c r="D44" s="226"/>
      <c r="E44" s="259"/>
      <c r="F44" s="232">
        <f t="shared" si="2"/>
        <v>0</v>
      </c>
      <c r="G44" s="63">
        <f t="shared" si="3"/>
        <v>0</v>
      </c>
      <c r="H44" s="260"/>
      <c r="I44" s="225"/>
    </row>
    <row r="45" spans="2:9" s="224" customFormat="1">
      <c r="B45" s="225">
        <v>34</v>
      </c>
      <c r="C45" s="229"/>
      <c r="D45" s="226"/>
      <c r="E45" s="259"/>
      <c r="F45" s="232">
        <f t="shared" si="2"/>
        <v>0</v>
      </c>
      <c r="G45" s="63">
        <f t="shared" si="3"/>
        <v>0</v>
      </c>
      <c r="H45" s="260"/>
      <c r="I45" s="225"/>
    </row>
    <row r="46" spans="2:9" s="224" customFormat="1">
      <c r="B46" s="225">
        <v>35</v>
      </c>
      <c r="C46" s="229"/>
      <c r="D46" s="226"/>
      <c r="E46" s="259"/>
      <c r="F46" s="232">
        <f t="shared" si="2"/>
        <v>0</v>
      </c>
      <c r="G46" s="63">
        <f t="shared" si="3"/>
        <v>0</v>
      </c>
      <c r="H46" s="260"/>
      <c r="I46" s="225"/>
    </row>
    <row r="47" spans="2:9" s="224" customFormat="1">
      <c r="B47" s="225">
        <v>36</v>
      </c>
      <c r="C47" s="229"/>
      <c r="D47" s="226"/>
      <c r="E47" s="259"/>
      <c r="F47" s="232">
        <f t="shared" si="2"/>
        <v>0</v>
      </c>
      <c r="G47" s="63">
        <f t="shared" si="3"/>
        <v>0</v>
      </c>
      <c r="H47" s="260"/>
      <c r="I47" s="225"/>
    </row>
    <row r="48" spans="2:9" ht="18.5">
      <c r="B48" s="5"/>
      <c r="C48" s="41"/>
      <c r="D48" s="41"/>
      <c r="E48" s="737" t="s">
        <v>61</v>
      </c>
      <c r="F48" s="737"/>
      <c r="G48" s="64">
        <f>SUM(G11:G35,G37:G47)</f>
        <v>220.4141405758599</v>
      </c>
      <c r="H48" s="5"/>
    </row>
    <row r="49" spans="2:12">
      <c r="B49" s="5"/>
      <c r="C49" s="41"/>
      <c r="D49" s="41"/>
      <c r="E49" s="41"/>
      <c r="F49" s="41"/>
      <c r="G49" s="41"/>
      <c r="H49" s="41"/>
    </row>
    <row r="50" spans="2:12">
      <c r="C50" s="42"/>
      <c r="D50" s="42"/>
      <c r="E50" s="42"/>
      <c r="F50" s="42"/>
      <c r="G50" s="42"/>
      <c r="H50" s="42"/>
    </row>
    <row r="51" spans="2:12">
      <c r="C51" s="52" t="s">
        <v>50</v>
      </c>
      <c r="D51" s="5"/>
      <c r="E51" s="5"/>
      <c r="F51" s="5"/>
      <c r="G51" s="5"/>
      <c r="H51" s="5"/>
    </row>
    <row r="52" spans="2:12">
      <c r="C52" s="5" t="s">
        <v>1022</v>
      </c>
      <c r="D52" s="5"/>
      <c r="E52" s="5"/>
      <c r="F52" s="5"/>
      <c r="G52" s="5"/>
      <c r="H52" s="5"/>
    </row>
    <row r="53" spans="2:12">
      <c r="C53" s="5"/>
      <c r="D53" s="5"/>
      <c r="E53" s="5"/>
      <c r="F53" s="5"/>
      <c r="G53" s="5"/>
      <c r="H53" s="5"/>
    </row>
    <row r="55" spans="2:12" ht="29.5" customHeight="1">
      <c r="C55" s="732"/>
      <c r="D55" s="46"/>
      <c r="E55" s="46"/>
      <c r="F55" s="46"/>
      <c r="G55" s="46"/>
      <c r="H55" s="46"/>
      <c r="I55" s="46"/>
      <c r="J55" s="46"/>
      <c r="K55" s="42"/>
      <c r="L55" s="42"/>
    </row>
    <row r="56" spans="2:12" s="12" customFormat="1" ht="29.5" customHeight="1">
      <c r="C56" s="732"/>
      <c r="D56" s="105"/>
      <c r="E56" s="106"/>
      <c r="F56" s="106"/>
      <c r="G56" s="106"/>
      <c r="H56" s="106"/>
      <c r="I56" s="106"/>
      <c r="J56" s="106"/>
      <c r="K56" s="44"/>
      <c r="L56" s="44"/>
    </row>
    <row r="57" spans="2:12">
      <c r="C57" s="46"/>
      <c r="D57" s="46"/>
      <c r="E57" s="46"/>
      <c r="F57" s="46"/>
      <c r="G57" s="46"/>
      <c r="H57" s="46"/>
      <c r="I57" s="46"/>
      <c r="J57" s="46"/>
      <c r="K57" s="46"/>
      <c r="L57" s="46"/>
    </row>
    <row r="58" spans="2:12">
      <c r="C58" s="734"/>
      <c r="D58" s="734"/>
      <c r="E58" s="734"/>
      <c r="F58" s="734"/>
      <c r="G58" s="734"/>
      <c r="H58" s="734"/>
      <c r="I58" s="47"/>
      <c r="J58" s="46"/>
      <c r="K58" s="46"/>
      <c r="L58" s="46"/>
    </row>
    <row r="59" spans="2:12" ht="21.75" customHeight="1">
      <c r="C59" s="735"/>
      <c r="D59" s="735"/>
      <c r="E59" s="735"/>
      <c r="F59" s="735"/>
      <c r="G59" s="735"/>
      <c r="H59" s="735"/>
      <c r="I59" s="48"/>
      <c r="J59" s="46"/>
      <c r="K59" s="46"/>
      <c r="L59" s="46"/>
    </row>
    <row r="60" spans="2:12" ht="24" customHeight="1">
      <c r="C60" s="735"/>
      <c r="D60" s="735"/>
      <c r="E60" s="735"/>
      <c r="F60" s="735"/>
      <c r="G60" s="735"/>
      <c r="H60" s="735"/>
      <c r="I60" s="49"/>
      <c r="J60" s="46"/>
      <c r="K60" s="46"/>
      <c r="L60" s="46"/>
    </row>
    <row r="61" spans="2:12">
      <c r="C61" s="107"/>
      <c r="D61" s="46"/>
      <c r="E61" s="108"/>
      <c r="F61" s="108"/>
      <c r="G61" s="108"/>
      <c r="H61" s="108"/>
      <c r="I61" s="46"/>
      <c r="J61" s="46"/>
      <c r="K61" s="46"/>
      <c r="L61" s="46"/>
    </row>
    <row r="62" spans="2:12">
      <c r="C62" s="109"/>
      <c r="D62" s="109"/>
      <c r="E62" s="109"/>
      <c r="F62" s="109"/>
      <c r="G62" s="109"/>
      <c r="H62" s="109"/>
      <c r="I62" s="46"/>
      <c r="J62" s="46"/>
      <c r="K62" s="46"/>
      <c r="L62" s="46"/>
    </row>
    <row r="63" spans="2:12" ht="16.5" customHeight="1">
      <c r="C63" s="108"/>
      <c r="D63" s="108"/>
      <c r="E63" s="108"/>
      <c r="F63" s="110"/>
      <c r="G63" s="110"/>
      <c r="H63" s="111"/>
      <c r="I63" s="46"/>
      <c r="J63" s="46"/>
      <c r="K63" s="46"/>
      <c r="L63" s="46"/>
    </row>
    <row r="64" spans="2:12" ht="16.5" customHeight="1">
      <c r="C64" s="108"/>
      <c r="D64" s="108"/>
      <c r="E64" s="108"/>
      <c r="F64" s="110"/>
      <c r="G64" s="110"/>
      <c r="H64" s="111"/>
      <c r="I64" s="46"/>
      <c r="J64" s="46"/>
      <c r="K64" s="46"/>
      <c r="L64" s="46"/>
    </row>
    <row r="65" spans="3:12" ht="16.5" customHeight="1">
      <c r="C65" s="108"/>
      <c r="D65" s="108"/>
      <c r="E65" s="108"/>
      <c r="F65" s="110"/>
      <c r="G65" s="110"/>
      <c r="H65" s="111"/>
      <c r="I65" s="46"/>
      <c r="J65" s="46"/>
      <c r="K65" s="46"/>
      <c r="L65" s="46"/>
    </row>
    <row r="66" spans="3:12" ht="16.5" customHeight="1">
      <c r="C66" s="108"/>
      <c r="D66" s="108"/>
      <c r="E66" s="108"/>
      <c r="F66" s="110"/>
      <c r="G66" s="110"/>
      <c r="H66" s="111"/>
      <c r="I66" s="46"/>
      <c r="J66" s="46"/>
      <c r="K66" s="46"/>
      <c r="L66" s="46"/>
    </row>
    <row r="67" spans="3:12" ht="16.5" customHeight="1">
      <c r="C67" s="108"/>
      <c r="D67" s="108"/>
      <c r="E67" s="108"/>
      <c r="F67" s="110"/>
      <c r="G67" s="110"/>
      <c r="H67" s="111"/>
      <c r="I67" s="46"/>
      <c r="J67" s="46"/>
      <c r="K67" s="46"/>
      <c r="L67" s="46"/>
    </row>
    <row r="68" spans="3:12" ht="16.5" customHeight="1">
      <c r="C68" s="108"/>
      <c r="D68" s="108"/>
      <c r="E68" s="108"/>
      <c r="F68" s="110"/>
      <c r="G68" s="110"/>
      <c r="H68" s="111"/>
      <c r="I68" s="46"/>
      <c r="J68" s="46"/>
      <c r="K68" s="46"/>
      <c r="L68" s="46"/>
    </row>
    <row r="69" spans="3:12" ht="16.5" customHeight="1">
      <c r="C69" s="108"/>
      <c r="D69" s="108"/>
      <c r="E69" s="108"/>
      <c r="F69" s="110"/>
      <c r="G69" s="110"/>
      <c r="H69" s="111"/>
      <c r="I69" s="46"/>
      <c r="J69" s="46"/>
      <c r="K69" s="46"/>
      <c r="L69" s="46"/>
    </row>
    <row r="70" spans="3:12" ht="16.5" customHeight="1">
      <c r="C70" s="108"/>
      <c r="D70" s="108"/>
      <c r="E70" s="108"/>
      <c r="F70" s="110"/>
      <c r="G70" s="110"/>
      <c r="H70" s="111"/>
      <c r="I70" s="46"/>
      <c r="J70" s="46"/>
      <c r="K70" s="46"/>
      <c r="L70" s="46"/>
    </row>
    <row r="71" spans="3:12" ht="16.5" customHeight="1">
      <c r="C71" s="108"/>
      <c r="D71" s="108"/>
      <c r="E71" s="108"/>
      <c r="F71" s="110"/>
      <c r="G71" s="110"/>
      <c r="H71" s="111"/>
      <c r="I71" s="46"/>
      <c r="J71" s="46"/>
      <c r="K71" s="46"/>
      <c r="L71" s="46"/>
    </row>
    <row r="72" spans="3:12" ht="16.5" customHeight="1">
      <c r="C72" s="108"/>
      <c r="D72" s="108"/>
      <c r="E72" s="108"/>
      <c r="F72" s="110"/>
      <c r="G72" s="110"/>
      <c r="H72" s="111"/>
      <c r="I72" s="46"/>
      <c r="J72" s="46"/>
      <c r="K72" s="46"/>
      <c r="L72" s="46"/>
    </row>
    <row r="73" spans="3:12" ht="16.5" customHeight="1">
      <c r="C73" s="108"/>
      <c r="D73" s="108"/>
      <c r="E73" s="108"/>
      <c r="F73" s="110"/>
      <c r="G73" s="110"/>
      <c r="H73" s="111"/>
      <c r="I73" s="46"/>
      <c r="J73" s="46"/>
      <c r="K73" s="46"/>
      <c r="L73" s="46"/>
    </row>
    <row r="74" spans="3:12">
      <c r="C74" s="108"/>
      <c r="D74" s="108"/>
      <c r="E74" s="108"/>
      <c r="F74" s="110"/>
      <c r="G74" s="110"/>
      <c r="H74" s="111"/>
      <c r="I74" s="51"/>
      <c r="J74" s="46"/>
      <c r="K74" s="46"/>
      <c r="L74" s="46"/>
    </row>
    <row r="75" spans="3:12">
      <c r="C75" s="108"/>
      <c r="D75" s="108"/>
      <c r="E75" s="108"/>
      <c r="F75" s="110"/>
      <c r="G75" s="110"/>
      <c r="H75" s="111"/>
      <c r="I75" s="46"/>
      <c r="J75" s="46"/>
      <c r="K75" s="46"/>
      <c r="L75" s="46"/>
    </row>
    <row r="76" spans="3:12">
      <c r="C76" s="108"/>
      <c r="D76" s="46"/>
      <c r="E76" s="108"/>
      <c r="F76" s="110"/>
      <c r="G76" s="110"/>
      <c r="H76" s="111"/>
      <c r="I76" s="46"/>
      <c r="J76" s="46"/>
      <c r="K76" s="46"/>
      <c r="L76" s="46"/>
    </row>
    <row r="77" spans="3:12">
      <c r="C77" s="108"/>
      <c r="E77" s="108"/>
      <c r="F77" s="110"/>
      <c r="G77" s="110"/>
      <c r="H77" s="111"/>
      <c r="I77" s="46"/>
      <c r="J77" s="46"/>
      <c r="K77" s="46"/>
      <c r="L77" s="46"/>
    </row>
    <row r="78" spans="3:12">
      <c r="C78" s="108"/>
      <c r="D78" s="46"/>
      <c r="E78" s="108"/>
      <c r="F78" s="110"/>
      <c r="G78" s="110"/>
      <c r="H78" s="111"/>
      <c r="I78" s="46"/>
      <c r="J78" s="46"/>
      <c r="K78" s="46"/>
      <c r="L78" s="46"/>
    </row>
    <row r="79" spans="3:12" ht="28.5" customHeight="1">
      <c r="C79" s="108"/>
      <c r="D79" s="46"/>
      <c r="E79" s="108"/>
      <c r="F79" s="110"/>
      <c r="G79" s="110"/>
      <c r="H79" s="111"/>
      <c r="I79" s="46"/>
      <c r="J79" s="46"/>
      <c r="K79" s="46"/>
      <c r="L79" s="53"/>
    </row>
    <row r="80" spans="3:12" ht="28.5" customHeight="1">
      <c r="C80" s="108"/>
      <c r="D80" s="46"/>
      <c r="E80" s="108"/>
      <c r="F80" s="110"/>
      <c r="G80" s="110"/>
      <c r="H80" s="111"/>
      <c r="I80" s="46"/>
      <c r="J80" s="46"/>
      <c r="K80" s="46"/>
      <c r="L80" s="53"/>
    </row>
    <row r="81" spans="3:12" ht="28.5" customHeight="1">
      <c r="C81" s="108"/>
      <c r="D81" s="46"/>
      <c r="E81" s="108"/>
      <c r="F81" s="110"/>
      <c r="G81" s="110"/>
      <c r="H81" s="111"/>
      <c r="I81" s="46"/>
      <c r="J81" s="46"/>
      <c r="K81" s="46"/>
      <c r="L81" s="53"/>
    </row>
    <row r="82" spans="3:12" ht="28.5" customHeight="1">
      <c r="C82" s="108"/>
      <c r="D82" s="46"/>
      <c r="E82" s="108"/>
      <c r="F82" s="110"/>
      <c r="G82" s="110"/>
      <c r="H82" s="111"/>
      <c r="I82" s="46"/>
      <c r="J82" s="46"/>
      <c r="K82" s="46"/>
      <c r="L82" s="53"/>
    </row>
    <row r="83" spans="3:12" ht="28.5" customHeight="1">
      <c r="C83" s="108"/>
      <c r="D83" s="46"/>
      <c r="E83" s="108"/>
      <c r="F83" s="110"/>
      <c r="G83" s="110"/>
      <c r="H83" s="111"/>
      <c r="I83" s="46"/>
      <c r="J83" s="46"/>
      <c r="K83" s="46"/>
      <c r="L83" s="53"/>
    </row>
    <row r="84" spans="3:12" ht="28.5" customHeight="1">
      <c r="C84" s="108"/>
      <c r="D84" s="46"/>
      <c r="E84" s="108"/>
      <c r="F84" s="110"/>
      <c r="G84" s="110"/>
      <c r="H84" s="111"/>
      <c r="I84" s="46"/>
      <c r="J84" s="46"/>
      <c r="K84" s="46"/>
      <c r="L84" s="53"/>
    </row>
    <row r="85" spans="3:12" ht="20.25" customHeight="1">
      <c r="C85" s="108"/>
      <c r="D85" s="46"/>
      <c r="E85" s="108"/>
      <c r="F85" s="110"/>
      <c r="G85" s="110"/>
      <c r="H85" s="111"/>
      <c r="I85" s="46"/>
      <c r="J85" s="46"/>
      <c r="K85" s="46"/>
      <c r="L85" s="54"/>
    </row>
    <row r="86" spans="3:12">
      <c r="C86" s="108"/>
      <c r="D86" s="46"/>
      <c r="E86" s="108"/>
      <c r="F86" s="110"/>
      <c r="G86" s="110"/>
      <c r="H86" s="111"/>
      <c r="I86" s="46"/>
      <c r="J86" s="46"/>
      <c r="K86" s="46"/>
      <c r="L86" s="54"/>
    </row>
    <row r="87" spans="3:12">
      <c r="C87" s="108"/>
      <c r="D87" s="46"/>
      <c r="E87" s="108"/>
      <c r="F87" s="110"/>
      <c r="G87" s="110"/>
      <c r="H87" s="111"/>
      <c r="I87" s="46"/>
      <c r="J87" s="46"/>
      <c r="K87" s="46"/>
      <c r="L87" s="54"/>
    </row>
    <row r="88" spans="3:12" ht="18.5">
      <c r="C88" s="46"/>
      <c r="D88" s="46"/>
      <c r="E88" s="46"/>
      <c r="F88" s="733"/>
      <c r="G88" s="733"/>
      <c r="H88" s="112"/>
      <c r="I88" s="46"/>
      <c r="J88" s="46"/>
      <c r="K88" s="46"/>
      <c r="L88" s="54"/>
    </row>
    <row r="89" spans="3:12">
      <c r="C89" s="46"/>
      <c r="D89" s="46"/>
      <c r="E89" s="46"/>
      <c r="F89" s="46"/>
      <c r="G89" s="46"/>
      <c r="H89" s="46"/>
      <c r="I89" s="46"/>
      <c r="J89" s="46"/>
      <c r="K89" s="46"/>
      <c r="L89" s="46"/>
    </row>
    <row r="90" spans="3:12">
      <c r="C90" s="46"/>
      <c r="D90" s="46"/>
      <c r="E90" s="46"/>
      <c r="F90" s="46"/>
      <c r="G90" s="46"/>
      <c r="H90" s="46"/>
      <c r="I90" s="46"/>
      <c r="J90" s="46"/>
      <c r="K90" s="46"/>
      <c r="L90" s="46"/>
    </row>
    <row r="91" spans="3:12">
      <c r="C91" s="113"/>
      <c r="I91" s="46"/>
      <c r="J91" s="106"/>
      <c r="K91" s="42"/>
      <c r="L91" s="42"/>
    </row>
    <row r="92" spans="3:12">
      <c r="I92" s="46"/>
      <c r="J92" s="46"/>
      <c r="K92" s="42"/>
      <c r="L92" s="42"/>
    </row>
    <row r="93" spans="3:12">
      <c r="K93" s="1"/>
      <c r="L93" s="1"/>
    </row>
    <row r="95" spans="3:12" ht="30" customHeight="1"/>
    <row r="96" spans="3:12" ht="23" customHeight="1">
      <c r="C96" s="732"/>
      <c r="D96" s="46"/>
      <c r="E96" s="46"/>
      <c r="F96" s="46"/>
      <c r="G96" s="46"/>
      <c r="H96" s="46"/>
    </row>
    <row r="97" spans="2:15" ht="23" customHeight="1">
      <c r="B97" s="12"/>
      <c r="C97" s="732"/>
      <c r="D97" s="105"/>
      <c r="E97" s="106"/>
      <c r="F97" s="106"/>
      <c r="G97" s="106"/>
      <c r="H97" s="106"/>
    </row>
    <row r="98" spans="2:15">
      <c r="C98" s="46"/>
      <c r="D98" s="46"/>
      <c r="E98" s="46"/>
      <c r="F98" s="46"/>
      <c r="G98" s="46"/>
      <c r="H98" s="46"/>
    </row>
    <row r="99" spans="2:15">
      <c r="C99" s="734"/>
      <c r="D99" s="734"/>
      <c r="E99" s="734"/>
      <c r="F99" s="734"/>
      <c r="G99" s="734"/>
      <c r="H99" s="734"/>
      <c r="O99" s="55"/>
    </row>
    <row r="100" spans="2:15">
      <c r="C100" s="735"/>
      <c r="D100" s="735"/>
      <c r="E100" s="735"/>
      <c r="F100" s="735"/>
      <c r="G100" s="735"/>
      <c r="H100" s="735"/>
    </row>
    <row r="101" spans="2:15">
      <c r="C101" s="735"/>
      <c r="D101" s="735"/>
      <c r="E101" s="735"/>
      <c r="F101" s="735"/>
      <c r="G101" s="735"/>
      <c r="H101" s="735"/>
    </row>
    <row r="102" spans="2:15">
      <c r="C102" s="107"/>
      <c r="D102" s="46"/>
      <c r="E102" s="108"/>
      <c r="F102" s="108"/>
      <c r="G102" s="108"/>
      <c r="H102" s="108"/>
    </row>
    <row r="103" spans="2:15">
      <c r="C103" s="109"/>
      <c r="D103" s="109"/>
      <c r="E103" s="109"/>
      <c r="F103" s="109"/>
      <c r="G103" s="109"/>
      <c r="H103" s="109"/>
    </row>
    <row r="104" spans="2:15">
      <c r="C104" s="108"/>
      <c r="D104" s="108"/>
      <c r="E104" s="108"/>
      <c r="F104" s="110"/>
      <c r="G104" s="110"/>
      <c r="H104" s="111"/>
      <c r="I104" s="15"/>
    </row>
    <row r="105" spans="2:15">
      <c r="C105" s="108"/>
      <c r="D105" s="108"/>
      <c r="E105" s="108"/>
      <c r="F105" s="110"/>
      <c r="G105" s="110"/>
      <c r="H105" s="111"/>
      <c r="I105" s="15"/>
    </row>
    <row r="106" spans="2:15">
      <c r="C106" s="108"/>
      <c r="D106" s="108"/>
      <c r="E106" s="108"/>
      <c r="F106" s="110"/>
      <c r="G106" s="110"/>
      <c r="H106" s="111"/>
      <c r="I106" s="15"/>
    </row>
    <row r="107" spans="2:15">
      <c r="C107" s="108"/>
      <c r="D107" s="108"/>
      <c r="E107" s="108"/>
      <c r="F107" s="110"/>
      <c r="G107" s="110"/>
      <c r="H107" s="111"/>
    </row>
    <row r="108" spans="2:15">
      <c r="C108" s="108"/>
      <c r="D108" s="108"/>
      <c r="E108" s="108"/>
      <c r="F108" s="110"/>
      <c r="G108" s="110"/>
      <c r="H108" s="111"/>
    </row>
    <row r="109" spans="2:15">
      <c r="C109" s="108"/>
      <c r="D109" s="108"/>
      <c r="E109" s="108"/>
      <c r="F109" s="110"/>
      <c r="G109" s="110"/>
      <c r="H109" s="111"/>
    </row>
    <row r="110" spans="2:15">
      <c r="C110" s="108"/>
      <c r="D110" s="108"/>
      <c r="E110" s="108"/>
      <c r="F110" s="110"/>
      <c r="G110" s="110"/>
      <c r="H110" s="111"/>
    </row>
    <row r="111" spans="2:15">
      <c r="C111" s="108"/>
      <c r="D111" s="108"/>
      <c r="E111" s="108"/>
      <c r="F111" s="110"/>
      <c r="G111" s="110"/>
      <c r="H111" s="111"/>
    </row>
    <row r="112" spans="2:15">
      <c r="C112" s="108"/>
      <c r="D112" s="108"/>
      <c r="E112" s="108"/>
      <c r="F112" s="110"/>
      <c r="G112" s="110"/>
      <c r="H112" s="111"/>
    </row>
    <row r="113" spans="3:8">
      <c r="C113" s="108"/>
      <c r="D113" s="108"/>
      <c r="E113" s="108"/>
      <c r="F113" s="110"/>
      <c r="G113" s="110"/>
      <c r="H113" s="111"/>
    </row>
    <row r="114" spans="3:8">
      <c r="C114" s="108"/>
      <c r="D114" s="108"/>
      <c r="E114" s="108"/>
      <c r="F114" s="110"/>
      <c r="G114" s="110"/>
      <c r="H114" s="111"/>
    </row>
    <row r="115" spans="3:8">
      <c r="C115" s="108"/>
      <c r="D115" s="108"/>
      <c r="E115" s="108"/>
      <c r="F115" s="110"/>
      <c r="G115" s="110"/>
      <c r="H115" s="111"/>
    </row>
    <row r="116" spans="3:8">
      <c r="C116" s="108"/>
      <c r="D116" s="108"/>
      <c r="E116" s="108"/>
      <c r="F116" s="110"/>
      <c r="G116" s="110"/>
      <c r="H116" s="111"/>
    </row>
    <row r="117" spans="3:8">
      <c r="C117" s="46"/>
      <c r="D117" s="46"/>
      <c r="E117" s="108"/>
      <c r="F117" s="110"/>
      <c r="G117" s="110"/>
      <c r="H117" s="111"/>
    </row>
    <row r="118" spans="3:8">
      <c r="C118" s="108"/>
      <c r="E118" s="108"/>
      <c r="F118" s="110"/>
      <c r="G118" s="110"/>
      <c r="H118" s="111"/>
    </row>
    <row r="119" spans="3:8">
      <c r="C119" s="46"/>
      <c r="D119" s="46"/>
      <c r="E119" s="108"/>
      <c r="F119" s="110"/>
      <c r="G119" s="110"/>
      <c r="H119" s="111"/>
    </row>
    <row r="120" spans="3:8">
      <c r="C120" s="46"/>
      <c r="D120" s="46"/>
      <c r="E120" s="108"/>
      <c r="F120" s="110"/>
      <c r="G120" s="110"/>
      <c r="H120" s="111"/>
    </row>
    <row r="121" spans="3:8">
      <c r="C121" s="46"/>
      <c r="D121" s="46"/>
      <c r="E121" s="108"/>
      <c r="F121" s="110"/>
      <c r="G121" s="110"/>
      <c r="H121" s="111"/>
    </row>
    <row r="122" spans="3:8">
      <c r="C122" s="46"/>
      <c r="D122" s="46"/>
      <c r="E122" s="108"/>
      <c r="F122" s="110"/>
      <c r="G122" s="110"/>
      <c r="H122" s="111"/>
    </row>
    <row r="123" spans="3:8">
      <c r="C123" s="46"/>
      <c r="D123" s="46"/>
      <c r="E123" s="108"/>
      <c r="F123" s="110"/>
      <c r="G123" s="110"/>
      <c r="H123" s="111"/>
    </row>
    <row r="124" spans="3:8">
      <c r="C124" s="46"/>
      <c r="D124" s="46"/>
      <c r="E124" s="108"/>
      <c r="F124" s="110"/>
      <c r="G124" s="110"/>
      <c r="H124" s="111"/>
    </row>
    <row r="125" spans="3:8">
      <c r="C125" s="46"/>
      <c r="D125" s="46"/>
      <c r="E125" s="108"/>
      <c r="F125" s="110"/>
      <c r="G125" s="110"/>
      <c r="H125" s="111"/>
    </row>
    <row r="126" spans="3:8">
      <c r="C126" s="46"/>
      <c r="D126" s="46"/>
      <c r="E126" s="108"/>
      <c r="F126" s="110"/>
      <c r="G126" s="110"/>
      <c r="H126" s="111"/>
    </row>
    <row r="127" spans="3:8">
      <c r="C127" s="46"/>
      <c r="D127" s="46"/>
      <c r="E127" s="108"/>
      <c r="F127" s="110"/>
      <c r="G127" s="110"/>
      <c r="H127" s="111"/>
    </row>
    <row r="128" spans="3:8">
      <c r="C128" s="46"/>
      <c r="D128" s="46"/>
      <c r="E128" s="108"/>
      <c r="F128" s="110"/>
      <c r="G128" s="110"/>
      <c r="H128" s="111"/>
    </row>
    <row r="129" spans="3:8" ht="18.5">
      <c r="C129" s="46"/>
      <c r="D129" s="46"/>
      <c r="E129" s="46"/>
      <c r="F129" s="733"/>
      <c r="G129" s="733"/>
      <c r="H129" s="112"/>
    </row>
    <row r="130" spans="3:8">
      <c r="C130" s="46"/>
      <c r="D130" s="46"/>
      <c r="E130" s="46"/>
      <c r="F130" s="46"/>
      <c r="G130" s="46"/>
      <c r="H130" s="46"/>
    </row>
    <row r="131" spans="3:8">
      <c r="C131" s="46"/>
      <c r="D131" s="46"/>
      <c r="E131" s="46"/>
      <c r="F131" s="46"/>
      <c r="G131" s="46"/>
      <c r="H131" s="46"/>
    </row>
    <row r="132" spans="3:8">
      <c r="C132" s="113"/>
    </row>
  </sheetData>
  <mergeCells count="14">
    <mergeCell ref="C99:H99"/>
    <mergeCell ref="C100:H100"/>
    <mergeCell ref="C101:H101"/>
    <mergeCell ref="F129:G129"/>
    <mergeCell ref="E48:F48"/>
    <mergeCell ref="C1:H1"/>
    <mergeCell ref="C96:C97"/>
    <mergeCell ref="F88:G88"/>
    <mergeCell ref="C58:H58"/>
    <mergeCell ref="C59:H59"/>
    <mergeCell ref="C60:H60"/>
    <mergeCell ref="C55:C56"/>
    <mergeCell ref="C5:H8"/>
    <mergeCell ref="C2:G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'espécies arruamento existentes'!$A$2:$A$209</xm:f>
          </x14:formula1>
          <xm:sqref>C11:C35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B1:O92"/>
  <sheetViews>
    <sheetView showGridLines="0" zoomScale="115" zoomScaleNormal="115" workbookViewId="0">
      <selection activeCell="G49" sqref="G49"/>
    </sheetView>
  </sheetViews>
  <sheetFormatPr defaultColWidth="8.81640625" defaultRowHeight="14.5"/>
  <cols>
    <col min="1" max="1" width="2.1796875" customWidth="1"/>
    <col min="2" max="2" width="3.36328125" customWidth="1"/>
    <col min="3" max="3" width="40.81640625" customWidth="1"/>
    <col min="4" max="4" width="2.81640625" customWidth="1"/>
    <col min="5" max="5" width="19.81640625" customWidth="1"/>
    <col min="6" max="6" width="19.453125" customWidth="1"/>
    <col min="7" max="7" width="17.453125" customWidth="1"/>
    <col min="8" max="8" width="19.453125" customWidth="1"/>
    <col min="9" max="9" width="2.81640625" customWidth="1"/>
    <col min="10" max="10" width="20.1796875" customWidth="1"/>
    <col min="11" max="11" width="22.453125" customWidth="1"/>
    <col min="12" max="12" width="2.453125" customWidth="1"/>
    <col min="14" max="14" width="2.453125" customWidth="1"/>
    <col min="15" max="15" width="31.453125" customWidth="1"/>
    <col min="16" max="16" width="31.1796875" customWidth="1"/>
    <col min="17" max="17" width="3.453125" customWidth="1"/>
    <col min="18" max="18" width="25.453125" customWidth="1"/>
    <col min="19" max="19" width="2" customWidth="1"/>
    <col min="20" max="20" width="31.6328125" customWidth="1"/>
    <col min="21" max="21" width="26.6328125" customWidth="1"/>
    <col min="22" max="22" width="2.36328125" customWidth="1"/>
  </cols>
  <sheetData>
    <row r="1" spans="2:12" ht="97.5" customHeight="1">
      <c r="B1" s="17"/>
      <c r="C1" s="509" t="s">
        <v>1106</v>
      </c>
      <c r="D1" s="509"/>
      <c r="E1" s="509"/>
      <c r="F1" s="509"/>
      <c r="G1" s="509"/>
      <c r="H1" s="509"/>
      <c r="I1" s="173"/>
      <c r="J1" s="173"/>
      <c r="K1" s="42"/>
      <c r="L1" s="42"/>
    </row>
    <row r="2" spans="2:12" s="12" customFormat="1" ht="29.5" customHeight="1">
      <c r="B2" s="43"/>
      <c r="C2" s="510" t="s">
        <v>1112</v>
      </c>
      <c r="D2" s="510"/>
      <c r="E2" s="510"/>
      <c r="F2" s="510"/>
      <c r="G2" s="45"/>
      <c r="H2" s="45"/>
      <c r="I2" s="44"/>
      <c r="J2" s="44"/>
      <c r="K2" s="44"/>
      <c r="L2" s="44"/>
    </row>
    <row r="3" spans="2:12" ht="23.5" customHeight="1">
      <c r="B3" s="132"/>
      <c r="C3" s="510"/>
      <c r="D3" s="510"/>
      <c r="E3" s="510"/>
      <c r="F3" s="510"/>
      <c r="G3" s="45"/>
      <c r="H3" s="45"/>
      <c r="I3" s="46"/>
      <c r="J3" s="46"/>
      <c r="K3" s="46"/>
      <c r="L3" s="46"/>
    </row>
    <row r="4" spans="2:12" ht="17" customHeight="1">
      <c r="B4" s="132"/>
      <c r="C4" s="169"/>
      <c r="D4" s="169"/>
      <c r="E4" s="169"/>
      <c r="F4" s="169"/>
      <c r="G4" s="45"/>
      <c r="H4" s="45"/>
      <c r="I4" s="46"/>
      <c r="J4" s="46"/>
      <c r="K4" s="46"/>
      <c r="L4" s="46"/>
    </row>
    <row r="5" spans="2:12" ht="18" customHeight="1">
      <c r="B5" s="5"/>
      <c r="C5" s="736" t="s">
        <v>1111</v>
      </c>
      <c r="D5" s="736"/>
      <c r="E5" s="736"/>
      <c r="F5" s="736"/>
      <c r="G5" s="736"/>
      <c r="H5" s="736"/>
      <c r="I5" s="48"/>
      <c r="J5" s="46"/>
      <c r="K5" s="46"/>
      <c r="L5" s="46"/>
    </row>
    <row r="6" spans="2:12" ht="18" customHeight="1">
      <c r="B6" s="5"/>
      <c r="C6" s="736"/>
      <c r="D6" s="736"/>
      <c r="E6" s="736"/>
      <c r="F6" s="736"/>
      <c r="G6" s="736"/>
      <c r="H6" s="736"/>
      <c r="I6" s="48"/>
      <c r="J6" s="46"/>
      <c r="K6" s="46"/>
      <c r="L6" s="46"/>
    </row>
    <row r="7" spans="2:12" ht="18" customHeight="1">
      <c r="B7" s="5"/>
      <c r="C7" s="736"/>
      <c r="D7" s="736"/>
      <c r="E7" s="736"/>
      <c r="F7" s="736"/>
      <c r="G7" s="736"/>
      <c r="H7" s="736"/>
      <c r="I7" s="48"/>
      <c r="J7" s="46"/>
      <c r="K7" s="46"/>
      <c r="L7" s="46"/>
    </row>
    <row r="8" spans="2:12" ht="18" customHeight="1">
      <c r="B8" s="5"/>
      <c r="C8" s="736"/>
      <c r="D8" s="736"/>
      <c r="E8" s="736"/>
      <c r="F8" s="736"/>
      <c r="G8" s="736"/>
      <c r="H8" s="736"/>
      <c r="I8" s="49"/>
      <c r="J8" s="46"/>
      <c r="K8" s="46"/>
      <c r="L8" s="46"/>
    </row>
    <row r="9" spans="2:12">
      <c r="B9" s="5"/>
      <c r="C9" s="60" t="s">
        <v>58</v>
      </c>
      <c r="D9" s="60">
        <f>COUNTA(C11:C35)</f>
        <v>0</v>
      </c>
      <c r="E9" s="59"/>
      <c r="F9" s="59"/>
      <c r="G9" s="59"/>
      <c r="H9" s="59"/>
      <c r="I9" s="46"/>
      <c r="J9" s="46"/>
      <c r="K9" s="46"/>
      <c r="L9" s="46"/>
    </row>
    <row r="10" spans="2:12" ht="43.5">
      <c r="B10" s="5" t="s">
        <v>59</v>
      </c>
      <c r="C10" s="61" t="s">
        <v>60</v>
      </c>
      <c r="D10" s="61"/>
      <c r="E10" s="230" t="s">
        <v>1320</v>
      </c>
      <c r="F10" s="230" t="s">
        <v>1321</v>
      </c>
      <c r="G10" s="230" t="s">
        <v>1323</v>
      </c>
      <c r="H10" s="41"/>
      <c r="I10" s="46"/>
      <c r="J10" s="46"/>
      <c r="K10" s="46"/>
    </row>
    <row r="11" spans="2:12">
      <c r="B11" s="5">
        <v>1</v>
      </c>
      <c r="C11" s="59"/>
      <c r="D11" s="59"/>
      <c r="E11" s="131" t="str">
        <f>IFERROR(VLOOKUP(C11,'espécies arruamento existentes'!$A:$Q,17,FALSE),"")</f>
        <v/>
      </c>
      <c r="F11" s="62" t="str">
        <f>IFERROR(E11*0.8,"")</f>
        <v/>
      </c>
      <c r="G11" s="63" t="str">
        <f>IFERROR(PI()*(F11/2)^2,"")</f>
        <v/>
      </c>
      <c r="H11" s="41"/>
      <c r="I11" s="46"/>
      <c r="J11" s="46"/>
      <c r="K11" s="46"/>
    </row>
    <row r="12" spans="2:12">
      <c r="B12" s="5">
        <v>2</v>
      </c>
      <c r="C12" s="59"/>
      <c r="D12" s="59"/>
      <c r="E12" s="131" t="str">
        <f>IFERROR(VLOOKUP(C12,'espécies arruamento existentes'!$A:$Q,17,FALSE),"")</f>
        <v/>
      </c>
      <c r="F12" s="62" t="str">
        <f t="shared" ref="F12:F35" si="0">IFERROR(E12*0.8,"")</f>
        <v/>
      </c>
      <c r="G12" s="63" t="str">
        <f t="shared" ref="G12:G35" si="1">IFERROR(PI()*(F12/2)^2,"")</f>
        <v/>
      </c>
      <c r="H12" s="41"/>
      <c r="I12" s="46"/>
      <c r="J12" s="46"/>
      <c r="K12" s="46"/>
    </row>
    <row r="13" spans="2:12">
      <c r="B13" s="5">
        <v>3</v>
      </c>
      <c r="C13" s="59"/>
      <c r="D13" s="59"/>
      <c r="E13" s="131" t="str">
        <f>IFERROR(VLOOKUP(C13,'espécies arruamento existentes'!$A:$Q,17,FALSE),"")</f>
        <v/>
      </c>
      <c r="F13" s="62" t="str">
        <f t="shared" si="0"/>
        <v/>
      </c>
      <c r="G13" s="63" t="str">
        <f t="shared" si="1"/>
        <v/>
      </c>
      <c r="H13" s="41"/>
      <c r="I13" s="46"/>
      <c r="J13" s="46"/>
      <c r="K13" s="46"/>
    </row>
    <row r="14" spans="2:12">
      <c r="B14" s="5">
        <v>4</v>
      </c>
      <c r="C14" s="59"/>
      <c r="D14" s="59"/>
      <c r="E14" s="131" t="str">
        <f>IFERROR(VLOOKUP(C14,'espécies arruamento existentes'!$A:$Q,17,FALSE),"")</f>
        <v/>
      </c>
      <c r="F14" s="62" t="str">
        <f t="shared" si="0"/>
        <v/>
      </c>
      <c r="G14" s="63" t="str">
        <f t="shared" si="1"/>
        <v/>
      </c>
      <c r="H14" s="41"/>
      <c r="I14" s="46"/>
      <c r="J14" s="46"/>
      <c r="K14" s="46"/>
    </row>
    <row r="15" spans="2:12">
      <c r="B15" s="5">
        <v>5</v>
      </c>
      <c r="C15" s="59"/>
      <c r="D15" s="59"/>
      <c r="E15" s="131" t="str">
        <f>IFERROR(VLOOKUP(C15,'espécies arruamento existentes'!$A:$Q,17,FALSE),"")</f>
        <v/>
      </c>
      <c r="F15" s="62" t="str">
        <f t="shared" si="0"/>
        <v/>
      </c>
      <c r="G15" s="63" t="str">
        <f t="shared" si="1"/>
        <v/>
      </c>
      <c r="H15" s="41"/>
      <c r="I15" s="46"/>
      <c r="J15" s="46"/>
      <c r="K15" s="46"/>
    </row>
    <row r="16" spans="2:12">
      <c r="B16" s="5">
        <v>6</v>
      </c>
      <c r="C16" s="59"/>
      <c r="D16" s="59"/>
      <c r="E16" s="131" t="str">
        <f>IFERROR(VLOOKUP(C16,'espécies arruamento existentes'!$A:$Q,17,FALSE),"")</f>
        <v/>
      </c>
      <c r="F16" s="62" t="str">
        <f t="shared" si="0"/>
        <v/>
      </c>
      <c r="G16" s="63" t="str">
        <f t="shared" si="1"/>
        <v/>
      </c>
      <c r="H16" s="41"/>
      <c r="I16" s="46"/>
      <c r="J16" s="46"/>
      <c r="K16" s="46"/>
    </row>
    <row r="17" spans="2:11">
      <c r="B17" s="5">
        <v>7</v>
      </c>
      <c r="C17" s="59"/>
      <c r="D17" s="59"/>
      <c r="E17" s="131" t="str">
        <f>IFERROR(VLOOKUP(C17,'espécies arruamento existentes'!$A:$Q,17,FALSE),"")</f>
        <v/>
      </c>
      <c r="F17" s="62" t="str">
        <f t="shared" si="0"/>
        <v/>
      </c>
      <c r="G17" s="63" t="str">
        <f t="shared" si="1"/>
        <v/>
      </c>
      <c r="H17" s="41"/>
      <c r="I17" s="46"/>
      <c r="J17" s="46"/>
      <c r="K17" s="46"/>
    </row>
    <row r="18" spans="2:11">
      <c r="B18" s="5">
        <v>8</v>
      </c>
      <c r="C18" s="59"/>
      <c r="D18" s="59"/>
      <c r="E18" s="131" t="str">
        <f>IFERROR(VLOOKUP(C18,'espécies arruamento existentes'!$A:$Q,17,FALSE),"")</f>
        <v/>
      </c>
      <c r="F18" s="62" t="str">
        <f t="shared" si="0"/>
        <v/>
      </c>
      <c r="G18" s="63" t="str">
        <f t="shared" si="1"/>
        <v/>
      </c>
      <c r="H18" s="41"/>
      <c r="I18" s="46"/>
      <c r="J18" s="46"/>
      <c r="K18" s="46"/>
    </row>
    <row r="19" spans="2:11">
      <c r="B19" s="5">
        <v>9</v>
      </c>
      <c r="C19" s="59"/>
      <c r="D19" s="59"/>
      <c r="E19" s="131" t="str">
        <f>IFERROR(VLOOKUP(C19,'espécies arruamento existentes'!$A:$Q,17,FALSE),"")</f>
        <v/>
      </c>
      <c r="F19" s="62" t="str">
        <f t="shared" si="0"/>
        <v/>
      </c>
      <c r="G19" s="63" t="str">
        <f t="shared" si="1"/>
        <v/>
      </c>
      <c r="H19" s="41"/>
      <c r="I19" s="46"/>
      <c r="J19" s="46"/>
      <c r="K19" s="46"/>
    </row>
    <row r="20" spans="2:11">
      <c r="B20" s="5">
        <v>10</v>
      </c>
      <c r="C20" s="59"/>
      <c r="D20" s="59"/>
      <c r="E20" s="131" t="str">
        <f>IFERROR(VLOOKUP(C20,'espécies arruamento existentes'!$A:$Q,17,FALSE),"")</f>
        <v/>
      </c>
      <c r="F20" s="62" t="str">
        <f t="shared" si="0"/>
        <v/>
      </c>
      <c r="G20" s="63" t="str">
        <f t="shared" si="1"/>
        <v/>
      </c>
      <c r="H20" s="41"/>
      <c r="I20" s="46"/>
      <c r="J20" s="46"/>
      <c r="K20" s="46"/>
    </row>
    <row r="21" spans="2:11">
      <c r="B21" s="5">
        <v>11</v>
      </c>
      <c r="C21" s="59"/>
      <c r="D21" s="59"/>
      <c r="E21" s="131" t="str">
        <f>IFERROR(VLOOKUP(C21,'espécies arruamento existentes'!$A:$Q,17,FALSE),"")</f>
        <v/>
      </c>
      <c r="F21" s="62" t="str">
        <f t="shared" si="0"/>
        <v/>
      </c>
      <c r="G21" s="63" t="str">
        <f t="shared" si="1"/>
        <v/>
      </c>
      <c r="H21" s="41"/>
      <c r="I21" s="46"/>
      <c r="J21" s="46"/>
      <c r="K21" s="46"/>
    </row>
    <row r="22" spans="2:11">
      <c r="B22" s="5">
        <v>12</v>
      </c>
      <c r="C22" s="59"/>
      <c r="D22" s="59"/>
      <c r="E22" s="131" t="str">
        <f>IFERROR(VLOOKUP(C22,'espécies arruamento existentes'!$A:$Q,17,FALSE),"")</f>
        <v/>
      </c>
      <c r="F22" s="62" t="str">
        <f t="shared" si="0"/>
        <v/>
      </c>
      <c r="G22" s="63" t="str">
        <f t="shared" si="1"/>
        <v/>
      </c>
      <c r="H22" s="50"/>
      <c r="I22" s="46"/>
      <c r="J22" s="46"/>
      <c r="K22" s="46"/>
    </row>
    <row r="23" spans="2:11">
      <c r="B23" s="5">
        <v>13</v>
      </c>
      <c r="C23" s="59"/>
      <c r="D23" s="59"/>
      <c r="E23" s="131" t="str">
        <f>IFERROR(VLOOKUP(C23,'espécies arruamento existentes'!$A:$Q,17,FALSE),"")</f>
        <v/>
      </c>
      <c r="F23" s="62" t="str">
        <f t="shared" si="0"/>
        <v/>
      </c>
      <c r="G23" s="63" t="str">
        <f t="shared" si="1"/>
        <v/>
      </c>
      <c r="H23" s="41"/>
      <c r="I23" s="46"/>
      <c r="J23" s="46"/>
      <c r="K23" s="46"/>
    </row>
    <row r="24" spans="2:11">
      <c r="B24" s="5">
        <v>14</v>
      </c>
      <c r="C24" s="59"/>
      <c r="D24" s="41"/>
      <c r="E24" s="131" t="str">
        <f>IFERROR(VLOOKUP(C24,'espécies arruamento existentes'!$A:$Q,17,FALSE),"")</f>
        <v/>
      </c>
      <c r="F24" s="62" t="str">
        <f t="shared" si="0"/>
        <v/>
      </c>
      <c r="G24" s="63" t="str">
        <f t="shared" si="1"/>
        <v/>
      </c>
      <c r="H24" s="41"/>
      <c r="I24" s="46"/>
      <c r="J24" s="46"/>
      <c r="K24" s="46"/>
    </row>
    <row r="25" spans="2:11">
      <c r="B25" s="5">
        <v>15</v>
      </c>
      <c r="C25" s="59"/>
      <c r="D25" s="41"/>
      <c r="E25" s="131" t="str">
        <f>IFERROR(VLOOKUP(C25,'espécies arruamento existentes'!$A:$Q,17,FALSE),"")</f>
        <v/>
      </c>
      <c r="F25" s="62" t="str">
        <f t="shared" si="0"/>
        <v/>
      </c>
      <c r="G25" s="63" t="str">
        <f t="shared" si="1"/>
        <v/>
      </c>
      <c r="H25" s="41"/>
      <c r="I25" s="46"/>
      <c r="J25" s="46"/>
      <c r="K25" s="46"/>
    </row>
    <row r="26" spans="2:11">
      <c r="B26" s="5">
        <v>16</v>
      </c>
      <c r="C26" s="59"/>
      <c r="D26" s="41"/>
      <c r="E26" s="131" t="str">
        <f>IFERROR(VLOOKUP(C26,'espécies arruamento existentes'!$A:$Q,17,FALSE),"")</f>
        <v/>
      </c>
      <c r="F26" s="62" t="str">
        <f t="shared" si="0"/>
        <v/>
      </c>
      <c r="G26" s="63" t="str">
        <f t="shared" si="1"/>
        <v/>
      </c>
      <c r="H26" s="41"/>
      <c r="I26" s="46"/>
      <c r="J26" s="46"/>
      <c r="K26" s="46"/>
    </row>
    <row r="27" spans="2:11">
      <c r="B27" s="5">
        <v>17</v>
      </c>
      <c r="C27" s="59"/>
      <c r="D27" s="41"/>
      <c r="E27" s="131" t="str">
        <f>IFERROR(VLOOKUP(C27,'espécies arruamento existentes'!$A:$Q,17,FALSE),"")</f>
        <v/>
      </c>
      <c r="F27" s="62" t="str">
        <f t="shared" si="0"/>
        <v/>
      </c>
      <c r="G27" s="63" t="str">
        <f t="shared" si="1"/>
        <v/>
      </c>
      <c r="H27" s="41"/>
      <c r="I27" s="46"/>
      <c r="J27" s="46"/>
      <c r="K27" s="53"/>
    </row>
    <row r="28" spans="2:11">
      <c r="B28" s="5">
        <v>18</v>
      </c>
      <c r="C28" s="59"/>
      <c r="D28" s="41"/>
      <c r="E28" s="131" t="str">
        <f>IFERROR(VLOOKUP(C28,'espécies arruamento existentes'!$A:$Q,17,FALSE),"")</f>
        <v/>
      </c>
      <c r="F28" s="62" t="str">
        <f t="shared" si="0"/>
        <v/>
      </c>
      <c r="G28" s="63" t="str">
        <f t="shared" si="1"/>
        <v/>
      </c>
      <c r="H28" s="41"/>
      <c r="I28" s="46"/>
      <c r="J28" s="46"/>
      <c r="K28" s="53"/>
    </row>
    <row r="29" spans="2:11">
      <c r="B29" s="5">
        <v>19</v>
      </c>
      <c r="C29" s="59"/>
      <c r="D29" s="41"/>
      <c r="E29" s="131" t="str">
        <f>IFERROR(VLOOKUP(C29,'espécies arruamento existentes'!$A:$Q,17,FALSE),"")</f>
        <v/>
      </c>
      <c r="F29" s="62" t="str">
        <f t="shared" si="0"/>
        <v/>
      </c>
      <c r="G29" s="63" t="str">
        <f t="shared" si="1"/>
        <v/>
      </c>
      <c r="H29" s="41"/>
      <c r="I29" s="46"/>
      <c r="J29" s="46"/>
      <c r="K29" s="53"/>
    </row>
    <row r="30" spans="2:11">
      <c r="B30" s="5">
        <v>20</v>
      </c>
      <c r="C30" s="59"/>
      <c r="D30" s="41"/>
      <c r="E30" s="131" t="str">
        <f>IFERROR(VLOOKUP(C30,'espécies arruamento existentes'!$A:$Q,17,FALSE),"")</f>
        <v/>
      </c>
      <c r="F30" s="62" t="str">
        <f t="shared" si="0"/>
        <v/>
      </c>
      <c r="G30" s="63" t="str">
        <f t="shared" si="1"/>
        <v/>
      </c>
      <c r="H30" s="41"/>
      <c r="I30" s="46"/>
      <c r="J30" s="46"/>
      <c r="K30" s="53"/>
    </row>
    <row r="31" spans="2:11">
      <c r="B31" s="5">
        <v>21</v>
      </c>
      <c r="C31" s="59"/>
      <c r="D31" s="41"/>
      <c r="E31" s="131" t="str">
        <f>IFERROR(VLOOKUP(C31,'espécies arruamento existentes'!$A:$Q,17,FALSE),"")</f>
        <v/>
      </c>
      <c r="F31" s="62" t="str">
        <f t="shared" si="0"/>
        <v/>
      </c>
      <c r="G31" s="63" t="str">
        <f t="shared" si="1"/>
        <v/>
      </c>
      <c r="H31" s="41"/>
      <c r="I31" s="46"/>
      <c r="J31" s="46"/>
      <c r="K31" s="53"/>
    </row>
    <row r="32" spans="2:11">
      <c r="B32" s="5">
        <v>22</v>
      </c>
      <c r="C32" s="59"/>
      <c r="D32" s="41"/>
      <c r="E32" s="131" t="str">
        <f>IFERROR(VLOOKUP(C32,'espécies arruamento existentes'!$A:$Q,17,FALSE),"")</f>
        <v/>
      </c>
      <c r="F32" s="62" t="str">
        <f t="shared" si="0"/>
        <v/>
      </c>
      <c r="G32" s="63" t="str">
        <f t="shared" si="1"/>
        <v/>
      </c>
      <c r="H32" s="41"/>
      <c r="I32" s="46"/>
      <c r="J32" s="46"/>
      <c r="K32" s="53"/>
    </row>
    <row r="33" spans="2:11">
      <c r="B33" s="5">
        <v>23</v>
      </c>
      <c r="C33" s="59"/>
      <c r="D33" s="41"/>
      <c r="E33" s="131" t="str">
        <f>IFERROR(VLOOKUP(C33,'espécies arruamento existentes'!$A:$Q,17,FALSE),"")</f>
        <v/>
      </c>
      <c r="F33" s="62" t="str">
        <f t="shared" si="0"/>
        <v/>
      </c>
      <c r="G33" s="63" t="str">
        <f t="shared" si="1"/>
        <v/>
      </c>
      <c r="H33" s="41"/>
      <c r="I33" s="46"/>
      <c r="J33" s="46"/>
      <c r="K33" s="54"/>
    </row>
    <row r="34" spans="2:11">
      <c r="B34" s="5">
        <v>24</v>
      </c>
      <c r="C34" s="59"/>
      <c r="D34" s="41"/>
      <c r="E34" s="131" t="str">
        <f>IFERROR(VLOOKUP(C34,'espécies arruamento existentes'!$A:$Q,17,FALSE),"")</f>
        <v/>
      </c>
      <c r="F34" s="62" t="str">
        <f t="shared" si="0"/>
        <v/>
      </c>
      <c r="G34" s="63" t="str">
        <f t="shared" si="1"/>
        <v/>
      </c>
      <c r="H34" s="41"/>
      <c r="I34" s="46"/>
      <c r="J34" s="46"/>
      <c r="K34" s="54"/>
    </row>
    <row r="35" spans="2:11">
      <c r="B35" s="5">
        <v>25</v>
      </c>
      <c r="C35" s="59"/>
      <c r="D35" s="41"/>
      <c r="E35" s="131" t="str">
        <f>IFERROR(VLOOKUP(C35,'espécies arruamento existentes'!$A:$Q,17,FALSE),"")</f>
        <v/>
      </c>
      <c r="F35" s="62" t="str">
        <f t="shared" si="0"/>
        <v/>
      </c>
      <c r="G35" s="63" t="str">
        <f t="shared" si="1"/>
        <v/>
      </c>
      <c r="H35" s="41"/>
      <c r="I35" s="46"/>
      <c r="J35" s="46"/>
      <c r="K35" s="54"/>
    </row>
    <row r="36" spans="2:11" s="224" customFormat="1" ht="43.5">
      <c r="B36" s="225"/>
      <c r="C36" s="230" t="s">
        <v>1175</v>
      </c>
      <c r="D36" s="230"/>
      <c r="E36" s="230" t="s">
        <v>1320</v>
      </c>
      <c r="F36" s="230" t="s">
        <v>1321</v>
      </c>
      <c r="G36" s="230" t="s">
        <v>1323</v>
      </c>
      <c r="H36" s="230" t="s">
        <v>1174</v>
      </c>
      <c r="I36" s="225"/>
    </row>
    <row r="37" spans="2:11" s="224" customFormat="1">
      <c r="B37" s="225">
        <v>26</v>
      </c>
      <c r="C37" s="229"/>
      <c r="D37" s="226"/>
      <c r="E37" s="259"/>
      <c r="F37" s="62">
        <f>E37*0.8</f>
        <v>0</v>
      </c>
      <c r="G37" s="63">
        <f>PI()*(F37/2)^2</f>
        <v>0</v>
      </c>
      <c r="H37" s="260"/>
      <c r="I37" s="225"/>
    </row>
    <row r="38" spans="2:11" s="224" customFormat="1">
      <c r="B38" s="225">
        <v>27</v>
      </c>
      <c r="C38" s="229"/>
      <c r="D38" s="226"/>
      <c r="E38" s="259"/>
      <c r="F38" s="62">
        <f t="shared" ref="F38:F47" si="2">E38*0.8</f>
        <v>0</v>
      </c>
      <c r="G38" s="63">
        <f t="shared" ref="G38:G47" si="3">PI()*(F38/2)^2</f>
        <v>0</v>
      </c>
      <c r="H38" s="260"/>
      <c r="I38" s="225"/>
    </row>
    <row r="39" spans="2:11" s="224" customFormat="1">
      <c r="B39" s="225">
        <v>28</v>
      </c>
      <c r="C39" s="229"/>
      <c r="D39" s="226"/>
      <c r="E39" s="259"/>
      <c r="F39" s="62">
        <f t="shared" si="2"/>
        <v>0</v>
      </c>
      <c r="G39" s="63">
        <f t="shared" si="3"/>
        <v>0</v>
      </c>
      <c r="H39" s="260"/>
      <c r="I39" s="225"/>
    </row>
    <row r="40" spans="2:11" s="224" customFormat="1">
      <c r="B40" s="225">
        <v>29</v>
      </c>
      <c r="C40" s="229"/>
      <c r="D40" s="226"/>
      <c r="E40" s="259"/>
      <c r="F40" s="62">
        <f t="shared" si="2"/>
        <v>0</v>
      </c>
      <c r="G40" s="63">
        <f t="shared" si="3"/>
        <v>0</v>
      </c>
      <c r="H40" s="260"/>
      <c r="I40" s="225"/>
    </row>
    <row r="41" spans="2:11" s="224" customFormat="1">
      <c r="B41" s="225">
        <v>30</v>
      </c>
      <c r="C41" s="229"/>
      <c r="D41" s="226"/>
      <c r="E41" s="259"/>
      <c r="F41" s="62">
        <f t="shared" si="2"/>
        <v>0</v>
      </c>
      <c r="G41" s="63">
        <f t="shared" si="3"/>
        <v>0</v>
      </c>
      <c r="H41" s="260"/>
      <c r="I41" s="225"/>
    </row>
    <row r="42" spans="2:11" s="224" customFormat="1">
      <c r="B42" s="225">
        <v>31</v>
      </c>
      <c r="C42" s="229"/>
      <c r="D42" s="226"/>
      <c r="E42" s="259"/>
      <c r="F42" s="62">
        <f t="shared" si="2"/>
        <v>0</v>
      </c>
      <c r="G42" s="63">
        <f t="shared" si="3"/>
        <v>0</v>
      </c>
      <c r="H42" s="260"/>
      <c r="I42" s="225"/>
    </row>
    <row r="43" spans="2:11" s="224" customFormat="1">
      <c r="B43" s="225">
        <v>32</v>
      </c>
      <c r="C43" s="229"/>
      <c r="D43" s="226"/>
      <c r="E43" s="259"/>
      <c r="F43" s="62">
        <f t="shared" si="2"/>
        <v>0</v>
      </c>
      <c r="G43" s="63">
        <f t="shared" si="3"/>
        <v>0</v>
      </c>
      <c r="H43" s="260"/>
      <c r="I43" s="225"/>
    </row>
    <row r="44" spans="2:11" s="224" customFormat="1">
      <c r="B44" s="225">
        <v>33</v>
      </c>
      <c r="C44" s="229"/>
      <c r="D44" s="226"/>
      <c r="E44" s="259"/>
      <c r="F44" s="62">
        <f t="shared" si="2"/>
        <v>0</v>
      </c>
      <c r="G44" s="63">
        <f t="shared" si="3"/>
        <v>0</v>
      </c>
      <c r="H44" s="260"/>
      <c r="I44" s="225"/>
    </row>
    <row r="45" spans="2:11" s="224" customFormat="1">
      <c r="B45" s="225">
        <v>34</v>
      </c>
      <c r="C45" s="229"/>
      <c r="D45" s="226"/>
      <c r="E45" s="259"/>
      <c r="F45" s="62">
        <f t="shared" si="2"/>
        <v>0</v>
      </c>
      <c r="G45" s="63">
        <f t="shared" si="3"/>
        <v>0</v>
      </c>
      <c r="H45" s="260"/>
      <c r="I45" s="225"/>
    </row>
    <row r="46" spans="2:11" s="224" customFormat="1">
      <c r="B46" s="225">
        <v>35</v>
      </c>
      <c r="C46" s="229"/>
      <c r="D46" s="226"/>
      <c r="E46" s="259"/>
      <c r="F46" s="62">
        <f t="shared" si="2"/>
        <v>0</v>
      </c>
      <c r="G46" s="63">
        <f t="shared" si="3"/>
        <v>0</v>
      </c>
      <c r="H46" s="260"/>
      <c r="I46" s="225"/>
    </row>
    <row r="47" spans="2:11" s="224" customFormat="1">
      <c r="B47" s="225">
        <v>36</v>
      </c>
      <c r="C47" s="229"/>
      <c r="D47" s="226"/>
      <c r="E47" s="259"/>
      <c r="F47" s="62">
        <f t="shared" si="2"/>
        <v>0</v>
      </c>
      <c r="G47" s="63">
        <f t="shared" si="3"/>
        <v>0</v>
      </c>
      <c r="H47" s="260"/>
      <c r="I47" s="225"/>
    </row>
    <row r="48" spans="2:11" ht="18.5">
      <c r="B48" s="5"/>
      <c r="C48" s="41"/>
      <c r="D48" s="41"/>
      <c r="E48" s="737" t="s">
        <v>61</v>
      </c>
      <c r="F48" s="737"/>
      <c r="G48" s="64">
        <v>120</v>
      </c>
      <c r="H48" s="41"/>
      <c r="I48" s="46"/>
      <c r="J48" s="46"/>
      <c r="K48" s="54"/>
    </row>
    <row r="49" spans="2:15">
      <c r="B49" s="5"/>
      <c r="C49" s="41"/>
      <c r="D49" s="41"/>
      <c r="E49" s="41"/>
      <c r="F49" s="41"/>
      <c r="G49" s="41"/>
      <c r="H49" s="41"/>
      <c r="I49" s="46"/>
      <c r="J49" s="46"/>
      <c r="K49" s="46"/>
      <c r="L49" s="46"/>
    </row>
    <row r="50" spans="2:15">
      <c r="C50" s="42"/>
      <c r="D50" s="42"/>
      <c r="E50" s="42"/>
      <c r="F50" s="42"/>
      <c r="G50" s="42"/>
      <c r="H50" s="42"/>
      <c r="I50" s="46"/>
      <c r="J50" s="46"/>
      <c r="K50" s="46"/>
      <c r="L50" s="46"/>
    </row>
    <row r="51" spans="2:15">
      <c r="C51" s="52" t="s">
        <v>50</v>
      </c>
      <c r="D51" s="5"/>
      <c r="E51" s="5"/>
      <c r="F51" s="5"/>
      <c r="G51" s="5"/>
      <c r="H51" s="5"/>
      <c r="I51" s="42"/>
      <c r="J51" s="44"/>
      <c r="K51" s="42"/>
      <c r="L51" s="42"/>
    </row>
    <row r="52" spans="2:15">
      <c r="C52" s="5" t="s">
        <v>1022</v>
      </c>
      <c r="D52" s="5"/>
      <c r="E52" s="5"/>
      <c r="F52" s="5"/>
      <c r="G52" s="5"/>
      <c r="H52" s="5"/>
      <c r="I52" s="42"/>
      <c r="J52" s="42"/>
      <c r="K52" s="42"/>
      <c r="L52" s="42"/>
    </row>
    <row r="53" spans="2:15">
      <c r="C53" s="5"/>
      <c r="D53" s="5"/>
      <c r="E53" s="5"/>
      <c r="F53" s="5"/>
      <c r="G53" s="5"/>
      <c r="H53" s="5"/>
      <c r="I53" s="1"/>
      <c r="J53" s="1"/>
      <c r="K53" s="1"/>
      <c r="L53" s="1"/>
    </row>
    <row r="55" spans="2:15" ht="30" customHeight="1"/>
    <row r="56" spans="2:15" ht="23" customHeight="1">
      <c r="C56" s="732"/>
      <c r="D56" s="46"/>
      <c r="E56" s="46"/>
      <c r="F56" s="46"/>
      <c r="G56" s="46"/>
      <c r="H56" s="46"/>
    </row>
    <row r="57" spans="2:15" ht="23" customHeight="1">
      <c r="B57" s="12"/>
      <c r="C57" s="732"/>
      <c r="D57" s="105"/>
      <c r="E57" s="106"/>
      <c r="F57" s="106"/>
      <c r="G57" s="106"/>
      <c r="H57" s="106"/>
    </row>
    <row r="58" spans="2:15">
      <c r="C58" s="46"/>
      <c r="D58" s="46"/>
      <c r="E58" s="46"/>
      <c r="F58" s="46"/>
      <c r="G58" s="46"/>
      <c r="H58" s="46"/>
    </row>
    <row r="59" spans="2:15">
      <c r="C59" s="734"/>
      <c r="D59" s="734"/>
      <c r="E59" s="734"/>
      <c r="F59" s="734"/>
      <c r="G59" s="734"/>
      <c r="H59" s="734"/>
      <c r="O59" s="55"/>
    </row>
    <row r="60" spans="2:15">
      <c r="C60" s="735"/>
      <c r="D60" s="735"/>
      <c r="E60" s="735"/>
      <c r="F60" s="735"/>
      <c r="G60" s="735"/>
      <c r="H60" s="735"/>
    </row>
    <row r="61" spans="2:15">
      <c r="C61" s="735"/>
      <c r="D61" s="735"/>
      <c r="E61" s="735"/>
      <c r="F61" s="735"/>
      <c r="G61" s="735"/>
      <c r="H61" s="735"/>
    </row>
    <row r="62" spans="2:15">
      <c r="C62" s="107"/>
      <c r="D62" s="46"/>
      <c r="E62" s="108"/>
      <c r="F62" s="108"/>
      <c r="G62" s="108"/>
      <c r="H62" s="108"/>
    </row>
    <row r="63" spans="2:15">
      <c r="C63" s="109"/>
      <c r="D63" s="109"/>
      <c r="E63" s="109"/>
      <c r="F63" s="109"/>
      <c r="G63" s="109"/>
      <c r="H63" s="109"/>
    </row>
    <row r="64" spans="2:15">
      <c r="C64" s="108"/>
      <c r="D64" s="108"/>
      <c r="E64" s="108"/>
      <c r="F64" s="110"/>
      <c r="G64" s="110"/>
      <c r="H64" s="111"/>
      <c r="I64" s="15"/>
    </row>
    <row r="65" spans="3:9">
      <c r="C65" s="108"/>
      <c r="D65" s="108"/>
      <c r="E65" s="108"/>
      <c r="F65" s="110"/>
      <c r="G65" s="110"/>
      <c r="H65" s="111"/>
      <c r="I65" s="15"/>
    </row>
    <row r="66" spans="3:9">
      <c r="C66" s="108"/>
      <c r="D66" s="108"/>
      <c r="E66" s="108"/>
      <c r="F66" s="110"/>
      <c r="G66" s="110"/>
      <c r="H66" s="111"/>
      <c r="I66" s="15"/>
    </row>
    <row r="67" spans="3:9">
      <c r="C67" s="108"/>
      <c r="D67" s="108"/>
      <c r="E67" s="108"/>
      <c r="F67" s="110"/>
      <c r="G67" s="110"/>
      <c r="H67" s="111"/>
    </row>
    <row r="68" spans="3:9">
      <c r="C68" s="108"/>
      <c r="D68" s="108"/>
      <c r="E68" s="108"/>
      <c r="F68" s="110"/>
      <c r="G68" s="110"/>
      <c r="H68" s="111"/>
    </row>
    <row r="69" spans="3:9">
      <c r="C69" s="108"/>
      <c r="D69" s="108"/>
      <c r="E69" s="108"/>
      <c r="F69" s="110"/>
      <c r="G69" s="110"/>
      <c r="H69" s="111"/>
    </row>
    <row r="70" spans="3:9">
      <c r="C70" s="108"/>
      <c r="D70" s="108"/>
      <c r="E70" s="108"/>
      <c r="F70" s="110"/>
      <c r="G70" s="110"/>
      <c r="H70" s="111"/>
    </row>
    <row r="71" spans="3:9">
      <c r="C71" s="108"/>
      <c r="D71" s="108"/>
      <c r="E71" s="108"/>
      <c r="F71" s="110"/>
      <c r="G71" s="110"/>
      <c r="H71" s="111"/>
    </row>
    <row r="72" spans="3:9">
      <c r="C72" s="108"/>
      <c r="D72" s="108"/>
      <c r="E72" s="108"/>
      <c r="F72" s="110"/>
      <c r="G72" s="110"/>
      <c r="H72" s="111"/>
    </row>
    <row r="73" spans="3:9">
      <c r="C73" s="108"/>
      <c r="D73" s="108"/>
      <c r="E73" s="108"/>
      <c r="F73" s="110"/>
      <c r="G73" s="110"/>
      <c r="H73" s="111"/>
    </row>
    <row r="74" spans="3:9">
      <c r="C74" s="108"/>
      <c r="D74" s="108"/>
      <c r="E74" s="108"/>
      <c r="F74" s="110"/>
      <c r="G74" s="110"/>
      <c r="H74" s="111"/>
    </row>
    <row r="75" spans="3:9">
      <c r="C75" s="108"/>
      <c r="D75" s="108"/>
      <c r="E75" s="108"/>
      <c r="F75" s="110"/>
      <c r="G75" s="110"/>
      <c r="H75" s="111"/>
    </row>
    <row r="76" spans="3:9">
      <c r="C76" s="108"/>
      <c r="D76" s="108"/>
      <c r="E76" s="108"/>
      <c r="F76" s="110"/>
      <c r="G76" s="110"/>
      <c r="H76" s="111"/>
    </row>
    <row r="77" spans="3:9">
      <c r="C77" s="46"/>
      <c r="D77" s="46"/>
      <c r="E77" s="108"/>
      <c r="F77" s="110"/>
      <c r="G77" s="110"/>
      <c r="H77" s="111"/>
    </row>
    <row r="78" spans="3:9">
      <c r="C78" s="108"/>
      <c r="E78" s="108"/>
      <c r="F78" s="110"/>
      <c r="G78" s="110"/>
      <c r="H78" s="111"/>
    </row>
    <row r="79" spans="3:9">
      <c r="C79" s="46"/>
      <c r="D79" s="46"/>
      <c r="E79" s="108"/>
      <c r="F79" s="110"/>
      <c r="G79" s="110"/>
      <c r="H79" s="111"/>
    </row>
    <row r="80" spans="3:9">
      <c r="C80" s="46"/>
      <c r="D80" s="46"/>
      <c r="E80" s="108"/>
      <c r="F80" s="110"/>
      <c r="G80" s="110"/>
      <c r="H80" s="111"/>
    </row>
    <row r="81" spans="3:8">
      <c r="C81" s="46"/>
      <c r="D81" s="46"/>
      <c r="E81" s="108"/>
      <c r="F81" s="110"/>
      <c r="G81" s="110"/>
      <c r="H81" s="111"/>
    </row>
    <row r="82" spans="3:8">
      <c r="C82" s="46"/>
      <c r="D82" s="46"/>
      <c r="E82" s="108"/>
      <c r="F82" s="110"/>
      <c r="G82" s="110"/>
      <c r="H82" s="111"/>
    </row>
    <row r="83" spans="3:8">
      <c r="C83" s="46"/>
      <c r="D83" s="46"/>
      <c r="E83" s="108"/>
      <c r="F83" s="110"/>
      <c r="G83" s="110"/>
      <c r="H83" s="111"/>
    </row>
    <row r="84" spans="3:8">
      <c r="C84" s="46"/>
      <c r="D84" s="46"/>
      <c r="E84" s="108"/>
      <c r="F84" s="110"/>
      <c r="G84" s="110"/>
      <c r="H84" s="111"/>
    </row>
    <row r="85" spans="3:8">
      <c r="C85" s="46"/>
      <c r="D85" s="46"/>
      <c r="E85" s="108"/>
      <c r="F85" s="110"/>
      <c r="G85" s="110"/>
      <c r="H85" s="111"/>
    </row>
    <row r="86" spans="3:8">
      <c r="C86" s="46"/>
      <c r="D86" s="46"/>
      <c r="E86" s="108"/>
      <c r="F86" s="110"/>
      <c r="G86" s="110"/>
      <c r="H86" s="111"/>
    </row>
    <row r="87" spans="3:8">
      <c r="C87" s="46"/>
      <c r="D87" s="46"/>
      <c r="E87" s="108"/>
      <c r="F87" s="110"/>
      <c r="G87" s="110"/>
      <c r="H87" s="111"/>
    </row>
    <row r="88" spans="3:8">
      <c r="C88" s="46"/>
      <c r="D88" s="46"/>
      <c r="E88" s="108"/>
      <c r="F88" s="110"/>
      <c r="G88" s="110"/>
      <c r="H88" s="111"/>
    </row>
    <row r="89" spans="3:8" ht="18.5">
      <c r="C89" s="46"/>
      <c r="D89" s="46"/>
      <c r="E89" s="46"/>
      <c r="F89" s="733"/>
      <c r="G89" s="733"/>
      <c r="H89" s="112"/>
    </row>
    <row r="90" spans="3:8">
      <c r="C90" s="46"/>
      <c r="D90" s="46"/>
      <c r="E90" s="46"/>
      <c r="F90" s="46"/>
      <c r="G90" s="46"/>
      <c r="H90" s="46"/>
    </row>
    <row r="91" spans="3:8">
      <c r="C91" s="46"/>
      <c r="D91" s="46"/>
      <c r="E91" s="46"/>
      <c r="F91" s="46"/>
      <c r="G91" s="46"/>
      <c r="H91" s="46"/>
    </row>
    <row r="92" spans="3:8">
      <c r="C92" s="113"/>
    </row>
  </sheetData>
  <mergeCells count="9">
    <mergeCell ref="C1:H1"/>
    <mergeCell ref="C5:H8"/>
    <mergeCell ref="C61:H61"/>
    <mergeCell ref="F89:G89"/>
    <mergeCell ref="E48:F48"/>
    <mergeCell ref="C56:C57"/>
    <mergeCell ref="C59:H59"/>
    <mergeCell ref="C60:H60"/>
    <mergeCell ref="C2:F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'espécies arruamento existentes'!$A$2:$A$209</xm:f>
          </x14:formula1>
          <xm:sqref>C11:C35</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dimension ref="A1:AC210"/>
  <sheetViews>
    <sheetView workbookViewId="0">
      <pane xSplit="1" topLeftCell="B1" activePane="topRight" state="frozen"/>
      <selection pane="topRight" activeCell="L1" sqref="L1:P1048576"/>
    </sheetView>
  </sheetViews>
  <sheetFormatPr defaultRowHeight="14.5"/>
  <cols>
    <col min="1" max="1" width="34.453125" customWidth="1"/>
    <col min="2" max="2" width="23.453125" customWidth="1"/>
    <col min="3" max="3" width="13.6328125" customWidth="1"/>
    <col min="4" max="4" width="15.54296875" customWidth="1"/>
    <col min="5" max="5" width="11.36328125" customWidth="1"/>
    <col min="6" max="6" width="7.08984375" customWidth="1"/>
    <col min="7" max="7" width="8.453125" customWidth="1"/>
    <col min="8" max="8" width="11.1796875" customWidth="1"/>
    <col min="9" max="9" width="11" customWidth="1"/>
    <col min="10" max="10" width="13.36328125" customWidth="1"/>
    <col min="11" max="11" width="8" customWidth="1"/>
    <col min="12" max="13" width="8" hidden="1" customWidth="1"/>
    <col min="14" max="14" width="8" style="129" hidden="1" customWidth="1"/>
    <col min="15" max="16" width="8.81640625" style="129" hidden="1" customWidth="1"/>
    <col min="17" max="17" width="8.81640625" style="129" customWidth="1"/>
    <col min="18" max="18" width="8.6328125" customWidth="1"/>
    <col min="19" max="20" width="11.1796875" customWidth="1"/>
    <col min="21" max="21" width="13.90625" customWidth="1"/>
    <col min="22" max="22" width="11.1796875" customWidth="1"/>
    <col min="23" max="23" width="11.08984375" customWidth="1"/>
    <col min="24" max="24" width="14.08984375" customWidth="1"/>
    <col min="25" max="25" width="8.90625" customWidth="1"/>
    <col min="26" max="27" width="21.81640625" customWidth="1"/>
    <col min="28" max="28" width="18.54296875" customWidth="1"/>
    <col min="29" max="29" width="34.81640625" customWidth="1"/>
  </cols>
  <sheetData>
    <row r="1" spans="1:29" ht="101.5">
      <c r="A1" s="13" t="s">
        <v>256</v>
      </c>
      <c r="B1" s="13" t="s">
        <v>257</v>
      </c>
      <c r="C1" s="13" t="s">
        <v>258</v>
      </c>
      <c r="D1" s="13" t="s">
        <v>259</v>
      </c>
      <c r="E1" s="13" t="s">
        <v>260</v>
      </c>
      <c r="F1" s="13" t="s">
        <v>261</v>
      </c>
      <c r="G1" s="13" t="s">
        <v>262</v>
      </c>
      <c r="H1" s="13" t="s">
        <v>263</v>
      </c>
      <c r="I1" s="13" t="s">
        <v>264</v>
      </c>
      <c r="J1" s="13" t="s">
        <v>265</v>
      </c>
      <c r="K1" s="13" t="s">
        <v>266</v>
      </c>
      <c r="L1" s="13" t="s">
        <v>966</v>
      </c>
      <c r="M1" s="13" t="s">
        <v>967</v>
      </c>
      <c r="N1" s="125" t="s">
        <v>965</v>
      </c>
      <c r="O1" s="125" t="s">
        <v>1017</v>
      </c>
      <c r="P1" s="125" t="s">
        <v>1019</v>
      </c>
      <c r="Q1" s="125" t="s">
        <v>1018</v>
      </c>
      <c r="R1" s="13" t="s">
        <v>267</v>
      </c>
      <c r="S1" s="13" t="s">
        <v>268</v>
      </c>
      <c r="T1" s="13" t="s">
        <v>269</v>
      </c>
      <c r="U1" s="13" t="s">
        <v>270</v>
      </c>
      <c r="V1" s="13" t="s">
        <v>271</v>
      </c>
      <c r="W1" s="13" t="s">
        <v>272</v>
      </c>
      <c r="X1" s="13" t="s">
        <v>273</v>
      </c>
      <c r="Y1" s="13" t="s">
        <v>274</v>
      </c>
      <c r="Z1" s="13" t="s">
        <v>275</v>
      </c>
      <c r="AA1" s="13" t="s">
        <v>276</v>
      </c>
      <c r="AB1" s="13" t="s">
        <v>277</v>
      </c>
      <c r="AC1" s="13" t="s">
        <v>278</v>
      </c>
    </row>
    <row r="2" spans="1:29">
      <c r="A2" s="117" t="s">
        <v>279</v>
      </c>
      <c r="B2" t="s">
        <v>280</v>
      </c>
      <c r="C2" s="117" t="s">
        <v>281</v>
      </c>
      <c r="D2" t="s">
        <v>282</v>
      </c>
      <c r="E2" t="s">
        <v>283</v>
      </c>
      <c r="F2" t="s">
        <v>57</v>
      </c>
      <c r="G2" t="s">
        <v>284</v>
      </c>
      <c r="H2" t="s">
        <v>285</v>
      </c>
      <c r="I2" t="s">
        <v>286</v>
      </c>
      <c r="J2" t="s">
        <v>287</v>
      </c>
      <c r="K2" t="s">
        <v>288</v>
      </c>
      <c r="L2">
        <f>LEN(Tabela13[[#This Row],[Largura de copa (metros)]])</f>
        <v>4</v>
      </c>
      <c r="M2" t="str">
        <f>LEFT(Tabela13[[#This Row],[Largura de copa (metros)]],LEN(Tabela13[[#This Row],[Largura de copa (metros)]])-1)</f>
        <v>6-8</v>
      </c>
      <c r="N2" s="130" t="s">
        <v>968</v>
      </c>
      <c r="O2" s="126" t="str">
        <f>"="&amp;Tabela13[[#This Row],[Coluna1]]</f>
        <v>=6-8</v>
      </c>
      <c r="P2" s="126">
        <f>6+8</f>
        <v>14</v>
      </c>
      <c r="Q2" s="126">
        <f>Tabela13[[#This Row],[Coluna 23]]/2</f>
        <v>7</v>
      </c>
      <c r="R2" t="s">
        <v>289</v>
      </c>
      <c r="S2" t="s">
        <v>290</v>
      </c>
      <c r="T2" t="s">
        <v>291</v>
      </c>
      <c r="U2" t="s">
        <v>292</v>
      </c>
      <c r="V2" t="s">
        <v>293</v>
      </c>
      <c r="W2" t="s">
        <v>294</v>
      </c>
      <c r="X2" t="s">
        <v>295</v>
      </c>
      <c r="Y2" t="s">
        <v>294</v>
      </c>
      <c r="Z2" t="s">
        <v>296</v>
      </c>
      <c r="AA2" t="s">
        <v>297</v>
      </c>
      <c r="AB2" t="s">
        <v>298</v>
      </c>
      <c r="AC2" t="s">
        <v>299</v>
      </c>
    </row>
    <row r="3" spans="1:29">
      <c r="A3" s="117" t="s">
        <v>315</v>
      </c>
      <c r="B3" t="s">
        <v>316</v>
      </c>
      <c r="C3" s="117" t="s">
        <v>317</v>
      </c>
      <c r="D3" t="s">
        <v>318</v>
      </c>
      <c r="E3" t="s">
        <v>283</v>
      </c>
      <c r="F3" t="s">
        <v>57</v>
      </c>
      <c r="G3" t="s">
        <v>319</v>
      </c>
      <c r="H3" t="s">
        <v>285</v>
      </c>
      <c r="I3" t="s">
        <v>285</v>
      </c>
      <c r="J3" t="s">
        <v>320</v>
      </c>
      <c r="K3" t="s">
        <v>305</v>
      </c>
      <c r="L3">
        <f>LEN(Tabela13[[#This Row],[Largura de copa (metros)]])</f>
        <v>4</v>
      </c>
      <c r="M3" t="str">
        <f>LEFT(Tabela13[[#This Row],[Largura de copa (metros)]],LEN(Tabela13[[#This Row],[Largura de copa (metros)]])-1)</f>
        <v>4-6</v>
      </c>
      <c r="N3" s="126" t="s">
        <v>969</v>
      </c>
      <c r="O3" s="126" t="str">
        <f>"="&amp;Tabela13[[#This Row],[Coluna1]]</f>
        <v>=4-6</v>
      </c>
      <c r="P3" s="126">
        <f>4+6</f>
        <v>10</v>
      </c>
      <c r="Q3" s="126">
        <f>Tabela13[[#This Row],[Coluna 23]]/2</f>
        <v>5</v>
      </c>
      <c r="R3" t="s">
        <v>321</v>
      </c>
      <c r="S3" t="s">
        <v>306</v>
      </c>
      <c r="T3" t="s">
        <v>291</v>
      </c>
      <c r="U3" t="s">
        <v>322</v>
      </c>
      <c r="V3" t="s">
        <v>293</v>
      </c>
      <c r="W3" t="s">
        <v>294</v>
      </c>
      <c r="X3" t="s">
        <v>295</v>
      </c>
      <c r="Y3" t="s">
        <v>294</v>
      </c>
      <c r="Z3" t="s">
        <v>323</v>
      </c>
      <c r="AA3" t="s">
        <v>324</v>
      </c>
      <c r="AB3" t="s">
        <v>325</v>
      </c>
      <c r="AC3" t="s">
        <v>299</v>
      </c>
    </row>
    <row r="4" spans="1:29">
      <c r="A4" s="117" t="s">
        <v>326</v>
      </c>
      <c r="B4" t="s">
        <v>299</v>
      </c>
      <c r="C4" s="117" t="s">
        <v>317</v>
      </c>
      <c r="D4" t="s">
        <v>318</v>
      </c>
      <c r="E4" t="s">
        <v>283</v>
      </c>
      <c r="F4" t="s">
        <v>57</v>
      </c>
      <c r="G4" t="s">
        <v>319</v>
      </c>
      <c r="H4" t="s">
        <v>299</v>
      </c>
      <c r="I4" t="s">
        <v>286</v>
      </c>
      <c r="J4" t="s">
        <v>299</v>
      </c>
      <c r="K4" t="s">
        <v>327</v>
      </c>
      <c r="L4">
        <f>LEN(Tabela13[[#This Row],[Largura de copa (metros)]])</f>
        <v>4</v>
      </c>
      <c r="M4" t="str">
        <f>LEFT(Tabela13[[#This Row],[Largura de copa (metros)]],LEN(Tabela13[[#This Row],[Largura de copa (metros)]])-1)</f>
        <v>5-8</v>
      </c>
      <c r="N4" s="126" t="s">
        <v>970</v>
      </c>
      <c r="O4" s="126" t="str">
        <f>"="&amp;Tabela13[[#This Row],[Coluna1]]</f>
        <v>=5-8</v>
      </c>
      <c r="P4" s="126">
        <f>5+8</f>
        <v>13</v>
      </c>
      <c r="Q4" s="126">
        <f>Tabela13[[#This Row],[Coluna 23]]/2</f>
        <v>6.5</v>
      </c>
      <c r="R4" t="s">
        <v>328</v>
      </c>
      <c r="S4" t="s">
        <v>329</v>
      </c>
      <c r="T4" t="s">
        <v>291</v>
      </c>
      <c r="U4" t="s">
        <v>292</v>
      </c>
      <c r="V4" t="s">
        <v>299</v>
      </c>
      <c r="W4" t="s">
        <v>299</v>
      </c>
      <c r="X4" t="s">
        <v>299</v>
      </c>
      <c r="Y4" t="s">
        <v>299</v>
      </c>
      <c r="Z4" t="s">
        <v>310</v>
      </c>
      <c r="AA4" t="s">
        <v>299</v>
      </c>
      <c r="AB4" t="s">
        <v>299</v>
      </c>
      <c r="AC4" t="s">
        <v>299</v>
      </c>
    </row>
    <row r="5" spans="1:29">
      <c r="A5" s="117" t="s">
        <v>330</v>
      </c>
      <c r="B5" t="s">
        <v>331</v>
      </c>
      <c r="C5" s="117" t="s">
        <v>317</v>
      </c>
      <c r="D5" t="s">
        <v>318</v>
      </c>
      <c r="E5" t="s">
        <v>283</v>
      </c>
      <c r="F5" t="s">
        <v>57</v>
      </c>
      <c r="G5" t="s">
        <v>319</v>
      </c>
      <c r="H5" t="s">
        <v>299</v>
      </c>
      <c r="I5" t="s">
        <v>299</v>
      </c>
      <c r="J5" t="s">
        <v>320</v>
      </c>
      <c r="K5" t="s">
        <v>332</v>
      </c>
      <c r="L5">
        <f>LEN(Tabela13[[#This Row],[Largura de copa (metros)]])</f>
        <v>3</v>
      </c>
      <c r="M5" t="str">
        <f>LEFT(Tabela13[[#This Row],[Largura de copa (metros)]],LEN(Tabela13[[#This Row],[Largura de copa (metros)]])-1)</f>
        <v>10</v>
      </c>
      <c r="N5" s="126" t="s">
        <v>971</v>
      </c>
      <c r="O5" s="126" t="str">
        <f>"="&amp;Tabela13[[#This Row],[Coluna1]]</f>
        <v>=10</v>
      </c>
      <c r="P5" s="126">
        <v>10</v>
      </c>
      <c r="Q5" s="126">
        <f>Tabela13[[#This Row],[Coluna 23]]/2</f>
        <v>5</v>
      </c>
      <c r="R5" t="s">
        <v>332</v>
      </c>
      <c r="S5" t="s">
        <v>333</v>
      </c>
      <c r="T5" t="s">
        <v>291</v>
      </c>
      <c r="U5" t="s">
        <v>322</v>
      </c>
      <c r="V5" t="s">
        <v>299</v>
      </c>
      <c r="W5" t="s">
        <v>299</v>
      </c>
      <c r="X5" t="s">
        <v>299</v>
      </c>
      <c r="Y5" t="s">
        <v>299</v>
      </c>
      <c r="Z5" t="s">
        <v>299</v>
      </c>
      <c r="AA5" t="s">
        <v>299</v>
      </c>
      <c r="AB5" t="s">
        <v>299</v>
      </c>
      <c r="AC5" t="s">
        <v>299</v>
      </c>
    </row>
    <row r="6" spans="1:29" s="122" customFormat="1">
      <c r="A6" s="117" t="s">
        <v>335</v>
      </c>
      <c r="B6" t="s">
        <v>334</v>
      </c>
      <c r="C6" s="117" t="s">
        <v>317</v>
      </c>
      <c r="D6" t="s">
        <v>318</v>
      </c>
      <c r="E6" t="s">
        <v>283</v>
      </c>
      <c r="F6" t="s">
        <v>57</v>
      </c>
      <c r="G6" t="s">
        <v>319</v>
      </c>
      <c r="H6" t="s">
        <v>302</v>
      </c>
      <c r="I6" t="s">
        <v>285</v>
      </c>
      <c r="J6" t="s">
        <v>320</v>
      </c>
      <c r="K6" t="s">
        <v>336</v>
      </c>
      <c r="L6">
        <f>LEN(Tabela13[[#This Row],[Largura de copa (metros)]])</f>
        <v>4</v>
      </c>
      <c r="M6" t="str">
        <f>LEFT(Tabela13[[#This Row],[Largura de copa (metros)]],LEN(Tabela13[[#This Row],[Largura de copa (metros)]])-1)</f>
        <v>2-4</v>
      </c>
      <c r="N6" s="126" t="s">
        <v>972</v>
      </c>
      <c r="O6" s="126" t="str">
        <f>"="&amp;Tabela13[[#This Row],[Coluna1]]</f>
        <v>=2-4</v>
      </c>
      <c r="P6" s="126">
        <f>2+4</f>
        <v>6</v>
      </c>
      <c r="Q6" s="126">
        <f>Tabela13[[#This Row],[Coluna 23]]/2</f>
        <v>3</v>
      </c>
      <c r="R6" t="s">
        <v>321</v>
      </c>
      <c r="S6" t="s">
        <v>336</v>
      </c>
      <c r="T6" t="s">
        <v>291</v>
      </c>
      <c r="U6" t="s">
        <v>322</v>
      </c>
      <c r="V6" t="s">
        <v>293</v>
      </c>
      <c r="W6" t="s">
        <v>294</v>
      </c>
      <c r="X6" t="s">
        <v>309</v>
      </c>
      <c r="Y6" t="s">
        <v>325</v>
      </c>
      <c r="Z6" t="s">
        <v>323</v>
      </c>
      <c r="AA6" t="s">
        <v>297</v>
      </c>
      <c r="AB6" t="s">
        <v>298</v>
      </c>
      <c r="AC6" t="s">
        <v>299</v>
      </c>
    </row>
    <row r="7" spans="1:29">
      <c r="A7" s="117" t="s">
        <v>337</v>
      </c>
      <c r="B7" t="s">
        <v>338</v>
      </c>
      <c r="C7" s="117" t="s">
        <v>317</v>
      </c>
      <c r="D7" t="s">
        <v>318</v>
      </c>
      <c r="E7" t="s">
        <v>283</v>
      </c>
      <c r="F7" t="s">
        <v>57</v>
      </c>
      <c r="G7" t="s">
        <v>319</v>
      </c>
      <c r="H7" t="s">
        <v>285</v>
      </c>
      <c r="I7" t="s">
        <v>303</v>
      </c>
      <c r="J7" t="s">
        <v>339</v>
      </c>
      <c r="K7" t="s">
        <v>340</v>
      </c>
      <c r="L7">
        <f>LEN(Tabela13[[#This Row],[Largura de copa (metros)]])</f>
        <v>4</v>
      </c>
      <c r="M7" t="str">
        <f>LEFT(Tabela13[[#This Row],[Largura de copa (metros)]],LEN(Tabela13[[#This Row],[Largura de copa (metros)]])-1)</f>
        <v>2-3</v>
      </c>
      <c r="N7" s="126" t="s">
        <v>973</v>
      </c>
      <c r="O7" s="126" t="str">
        <f>"="&amp;Tabela13[[#This Row],[Coluna1]]</f>
        <v>=2-3</v>
      </c>
      <c r="P7" s="126">
        <f>2+3</f>
        <v>5</v>
      </c>
      <c r="Q7" s="126">
        <f>Tabela13[[#This Row],[Coluna 23]]/2</f>
        <v>2.5</v>
      </c>
      <c r="R7" t="s">
        <v>341</v>
      </c>
      <c r="S7" t="s">
        <v>340</v>
      </c>
      <c r="T7" t="s">
        <v>342</v>
      </c>
      <c r="U7" t="s">
        <v>307</v>
      </c>
      <c r="V7" t="s">
        <v>293</v>
      </c>
      <c r="W7" t="s">
        <v>294</v>
      </c>
      <c r="X7" t="s">
        <v>295</v>
      </c>
      <c r="Y7" t="s">
        <v>298</v>
      </c>
      <c r="Z7" t="s">
        <v>343</v>
      </c>
      <c r="AA7" t="s">
        <v>311</v>
      </c>
      <c r="AB7" t="s">
        <v>298</v>
      </c>
      <c r="AC7" t="s">
        <v>299</v>
      </c>
    </row>
    <row r="8" spans="1:29" s="122" customFormat="1">
      <c r="A8" s="117" t="s">
        <v>344</v>
      </c>
      <c r="B8" t="s">
        <v>345</v>
      </c>
      <c r="C8" s="117" t="s">
        <v>317</v>
      </c>
      <c r="D8" t="s">
        <v>318</v>
      </c>
      <c r="E8" t="s">
        <v>283</v>
      </c>
      <c r="F8" t="s">
        <v>57</v>
      </c>
      <c r="G8" t="s">
        <v>319</v>
      </c>
      <c r="H8" t="s">
        <v>302</v>
      </c>
      <c r="I8" t="s">
        <v>286</v>
      </c>
      <c r="J8" t="s">
        <v>320</v>
      </c>
      <c r="K8" t="s">
        <v>346</v>
      </c>
      <c r="L8">
        <f>LEN(Tabela13[[#This Row],[Largura de copa (metros)]])</f>
        <v>5</v>
      </c>
      <c r="M8" t="str">
        <f>LEFT(Tabela13[[#This Row],[Largura de copa (metros)]],LEN(Tabela13[[#This Row],[Largura de copa (metros)]])-1)</f>
        <v>8-10</v>
      </c>
      <c r="N8" s="126" t="s">
        <v>974</v>
      </c>
      <c r="O8" s="126" t="str">
        <f>"="&amp;Tabela13[[#This Row],[Coluna1]]</f>
        <v>=8-10</v>
      </c>
      <c r="P8" s="126">
        <f>8+10</f>
        <v>18</v>
      </c>
      <c r="Q8" s="126">
        <f>Tabela13[[#This Row],[Coluna 23]]/2</f>
        <v>9</v>
      </c>
      <c r="R8" t="s">
        <v>347</v>
      </c>
      <c r="S8" t="s">
        <v>288</v>
      </c>
      <c r="T8" t="s">
        <v>291</v>
      </c>
      <c r="U8" t="s">
        <v>292</v>
      </c>
      <c r="V8" t="s">
        <v>293</v>
      </c>
      <c r="W8" t="s">
        <v>294</v>
      </c>
      <c r="X8" t="s">
        <v>295</v>
      </c>
      <c r="Y8" t="s">
        <v>294</v>
      </c>
      <c r="Z8" t="s">
        <v>323</v>
      </c>
      <c r="AA8" t="s">
        <v>311</v>
      </c>
      <c r="AB8" t="s">
        <v>325</v>
      </c>
      <c r="AC8" t="s">
        <v>299</v>
      </c>
    </row>
    <row r="9" spans="1:29">
      <c r="A9" s="117" t="s">
        <v>348</v>
      </c>
      <c r="B9" t="s">
        <v>345</v>
      </c>
      <c r="C9" s="117" t="s">
        <v>317</v>
      </c>
      <c r="D9" t="s">
        <v>318</v>
      </c>
      <c r="E9" t="s">
        <v>283</v>
      </c>
      <c r="F9" t="s">
        <v>57</v>
      </c>
      <c r="G9" t="s">
        <v>319</v>
      </c>
      <c r="H9" t="s">
        <v>302</v>
      </c>
      <c r="I9" t="s">
        <v>285</v>
      </c>
      <c r="J9" t="s">
        <v>320</v>
      </c>
      <c r="K9" t="s">
        <v>305</v>
      </c>
      <c r="L9">
        <f>LEN(Tabela13[[#This Row],[Largura de copa (metros)]])</f>
        <v>4</v>
      </c>
      <c r="M9" t="str">
        <f>LEFT(Tabela13[[#This Row],[Largura de copa (metros)]],LEN(Tabela13[[#This Row],[Largura de copa (metros)]])-1)</f>
        <v>4-6</v>
      </c>
      <c r="N9" s="126" t="s">
        <v>969</v>
      </c>
      <c r="O9" s="126" t="str">
        <f>"="&amp;Tabela13[[#This Row],[Coluna1]]</f>
        <v>=4-6</v>
      </c>
      <c r="P9" s="126">
        <f>4+6</f>
        <v>10</v>
      </c>
      <c r="Q9" s="126">
        <f>Tabela13[[#This Row],[Coluna 23]]/2</f>
        <v>5</v>
      </c>
      <c r="R9" t="s">
        <v>349</v>
      </c>
      <c r="S9" t="s">
        <v>306</v>
      </c>
      <c r="T9" t="s">
        <v>291</v>
      </c>
      <c r="U9" t="s">
        <v>292</v>
      </c>
      <c r="V9" t="s">
        <v>293</v>
      </c>
      <c r="W9" t="s">
        <v>294</v>
      </c>
      <c r="X9" t="s">
        <v>295</v>
      </c>
      <c r="Y9" t="s">
        <v>294</v>
      </c>
      <c r="Z9" t="s">
        <v>323</v>
      </c>
      <c r="AA9" t="s">
        <v>311</v>
      </c>
      <c r="AB9" t="s">
        <v>325</v>
      </c>
      <c r="AC9" t="s">
        <v>299</v>
      </c>
    </row>
    <row r="10" spans="1:29">
      <c r="A10" s="117" t="s">
        <v>350</v>
      </c>
      <c r="B10" t="s">
        <v>345</v>
      </c>
      <c r="C10" s="117" t="s">
        <v>317</v>
      </c>
      <c r="D10" t="s">
        <v>318</v>
      </c>
      <c r="E10" t="s">
        <v>283</v>
      </c>
      <c r="F10" t="s">
        <v>57</v>
      </c>
      <c r="G10" t="s">
        <v>319</v>
      </c>
      <c r="H10" t="s">
        <v>302</v>
      </c>
      <c r="I10" t="s">
        <v>285</v>
      </c>
      <c r="J10" t="s">
        <v>320</v>
      </c>
      <c r="K10" t="s">
        <v>305</v>
      </c>
      <c r="L10">
        <f>LEN(Tabela13[[#This Row],[Largura de copa (metros)]])</f>
        <v>4</v>
      </c>
      <c r="M10" t="str">
        <f>LEFT(Tabela13[[#This Row],[Largura de copa (metros)]],LEN(Tabela13[[#This Row],[Largura de copa (metros)]])-1)</f>
        <v>4-6</v>
      </c>
      <c r="N10" s="126" t="s">
        <v>969</v>
      </c>
      <c r="O10" s="126" t="str">
        <f>"="&amp;Tabela13[[#This Row],[Coluna1]]</f>
        <v>=4-6</v>
      </c>
      <c r="P10" s="126">
        <f>4+6</f>
        <v>10</v>
      </c>
      <c r="Q10" s="126">
        <f>Tabela13[[#This Row],[Coluna 23]]/2</f>
        <v>5</v>
      </c>
      <c r="R10" t="s">
        <v>349</v>
      </c>
      <c r="S10" t="s">
        <v>306</v>
      </c>
      <c r="T10" t="s">
        <v>291</v>
      </c>
      <c r="U10" t="s">
        <v>292</v>
      </c>
      <c r="V10" t="s">
        <v>293</v>
      </c>
      <c r="W10" t="s">
        <v>294</v>
      </c>
      <c r="X10" t="s">
        <v>295</v>
      </c>
      <c r="Y10" t="s">
        <v>294</v>
      </c>
      <c r="Z10" t="s">
        <v>323</v>
      </c>
      <c r="AA10" t="s">
        <v>311</v>
      </c>
      <c r="AB10" t="s">
        <v>325</v>
      </c>
      <c r="AC10" t="s">
        <v>299</v>
      </c>
    </row>
    <row r="11" spans="1:29" s="122" customFormat="1">
      <c r="A11" s="117" t="s">
        <v>351</v>
      </c>
      <c r="B11" t="s">
        <v>352</v>
      </c>
      <c r="C11" s="117" t="s">
        <v>317</v>
      </c>
      <c r="D11" t="s">
        <v>318</v>
      </c>
      <c r="E11" t="s">
        <v>353</v>
      </c>
      <c r="F11" t="s">
        <v>57</v>
      </c>
      <c r="G11" t="s">
        <v>319</v>
      </c>
      <c r="H11" t="s">
        <v>302</v>
      </c>
      <c r="I11" t="s">
        <v>286</v>
      </c>
      <c r="J11" t="s">
        <v>304</v>
      </c>
      <c r="K11" t="s">
        <v>346</v>
      </c>
      <c r="L11">
        <f>LEN(Tabela13[[#This Row],[Largura de copa (metros)]])</f>
        <v>5</v>
      </c>
      <c r="M11" t="str">
        <f>LEFT(Tabela13[[#This Row],[Largura de copa (metros)]],LEN(Tabela13[[#This Row],[Largura de copa (metros)]])-1)</f>
        <v>8-10</v>
      </c>
      <c r="N11" s="126" t="s">
        <v>974</v>
      </c>
      <c r="O11" s="126" t="str">
        <f>"="&amp;Tabela13[[#This Row],[Coluna1]]</f>
        <v>=8-10</v>
      </c>
      <c r="P11" s="126">
        <f>8+10</f>
        <v>18</v>
      </c>
      <c r="Q11" s="126">
        <f>Tabela13[[#This Row],[Coluna 23]]/2</f>
        <v>9</v>
      </c>
      <c r="R11" t="s">
        <v>354</v>
      </c>
      <c r="S11" t="s">
        <v>288</v>
      </c>
      <c r="T11" t="s">
        <v>291</v>
      </c>
      <c r="U11" t="s">
        <v>292</v>
      </c>
      <c r="V11" t="s">
        <v>293</v>
      </c>
      <c r="W11" t="s">
        <v>294</v>
      </c>
      <c r="X11" t="s">
        <v>309</v>
      </c>
      <c r="Y11" t="s">
        <v>294</v>
      </c>
      <c r="Z11" t="s">
        <v>323</v>
      </c>
      <c r="AA11" t="s">
        <v>311</v>
      </c>
      <c r="AB11" t="s">
        <v>325</v>
      </c>
      <c r="AC11" t="s">
        <v>299</v>
      </c>
    </row>
    <row r="12" spans="1:29" s="122" customFormat="1">
      <c r="A12" s="117" t="s">
        <v>355</v>
      </c>
      <c r="B12" t="s">
        <v>356</v>
      </c>
      <c r="C12" s="117" t="s">
        <v>317</v>
      </c>
      <c r="D12" t="s">
        <v>318</v>
      </c>
      <c r="E12" t="s">
        <v>283</v>
      </c>
      <c r="F12" t="s">
        <v>57</v>
      </c>
      <c r="G12" t="s">
        <v>319</v>
      </c>
      <c r="H12" t="s">
        <v>302</v>
      </c>
      <c r="I12" t="s">
        <v>285</v>
      </c>
      <c r="J12" t="s">
        <v>304</v>
      </c>
      <c r="K12" t="s">
        <v>305</v>
      </c>
      <c r="L12">
        <f>LEN(Tabela13[[#This Row],[Largura de copa (metros)]])</f>
        <v>4</v>
      </c>
      <c r="M12" t="str">
        <f>LEFT(Tabela13[[#This Row],[Largura de copa (metros)]],LEN(Tabela13[[#This Row],[Largura de copa (metros)]])-1)</f>
        <v>4-6</v>
      </c>
      <c r="N12" s="126" t="s">
        <v>969</v>
      </c>
      <c r="O12" s="126" t="str">
        <f>"="&amp;Tabela13[[#This Row],[Coluna1]]</f>
        <v>=4-6</v>
      </c>
      <c r="P12" s="126">
        <f>4+6</f>
        <v>10</v>
      </c>
      <c r="Q12" s="126">
        <f>Tabela13[[#This Row],[Coluna 23]]/2</f>
        <v>5</v>
      </c>
      <c r="R12" t="s">
        <v>349</v>
      </c>
      <c r="S12" t="s">
        <v>306</v>
      </c>
      <c r="T12" t="s">
        <v>291</v>
      </c>
      <c r="U12" t="s">
        <v>292</v>
      </c>
      <c r="V12" t="s">
        <v>293</v>
      </c>
      <c r="W12" t="s">
        <v>294</v>
      </c>
      <c r="X12" t="s">
        <v>295</v>
      </c>
      <c r="Y12" t="s">
        <v>294</v>
      </c>
      <c r="Z12" t="s">
        <v>323</v>
      </c>
      <c r="AA12" t="s">
        <v>311</v>
      </c>
      <c r="AB12" t="s">
        <v>325</v>
      </c>
      <c r="AC12" t="s">
        <v>299</v>
      </c>
    </row>
    <row r="13" spans="1:29">
      <c r="A13" s="117" t="s">
        <v>357</v>
      </c>
      <c r="B13" t="s">
        <v>358</v>
      </c>
      <c r="C13" s="117" t="s">
        <v>317</v>
      </c>
      <c r="D13" t="s">
        <v>318</v>
      </c>
      <c r="E13" t="s">
        <v>283</v>
      </c>
      <c r="F13" t="s">
        <v>57</v>
      </c>
      <c r="G13" t="s">
        <v>319</v>
      </c>
      <c r="H13" t="s">
        <v>299</v>
      </c>
      <c r="I13" t="s">
        <v>285</v>
      </c>
      <c r="J13" t="s">
        <v>359</v>
      </c>
      <c r="K13" t="s">
        <v>349</v>
      </c>
      <c r="L13">
        <f>LEN(Tabela13[[#This Row],[Largura de copa (metros)]])</f>
        <v>6</v>
      </c>
      <c r="M13" t="str">
        <f>LEFT(Tabela13[[#This Row],[Largura de copa (metros)]],LEN(Tabela13[[#This Row],[Largura de copa (metros)]])-1)</f>
        <v>10-15</v>
      </c>
      <c r="N13" s="126" t="s">
        <v>975</v>
      </c>
      <c r="O13" s="126" t="str">
        <f>"="&amp;Tabela13[[#This Row],[Coluna1]]</f>
        <v>=10-15</v>
      </c>
      <c r="P13" s="126">
        <f>10+15</f>
        <v>25</v>
      </c>
      <c r="Q13" s="126">
        <f>Tabela13[[#This Row],[Coluna 23]]/2</f>
        <v>12.5</v>
      </c>
      <c r="R13" t="s">
        <v>360</v>
      </c>
      <c r="S13" t="s">
        <v>361</v>
      </c>
      <c r="T13" t="s">
        <v>362</v>
      </c>
      <c r="U13" t="s">
        <v>292</v>
      </c>
      <c r="V13" t="s">
        <v>363</v>
      </c>
      <c r="W13" t="s">
        <v>294</v>
      </c>
      <c r="X13" t="s">
        <v>299</v>
      </c>
      <c r="Y13" t="s">
        <v>325</v>
      </c>
      <c r="Z13" t="s">
        <v>323</v>
      </c>
      <c r="AA13" t="s">
        <v>311</v>
      </c>
      <c r="AB13" t="s">
        <v>325</v>
      </c>
      <c r="AC13" t="s">
        <v>299</v>
      </c>
    </row>
    <row r="14" spans="1:29">
      <c r="A14" s="117" t="s">
        <v>364</v>
      </c>
      <c r="B14" t="s">
        <v>365</v>
      </c>
      <c r="C14" s="117" t="s">
        <v>317</v>
      </c>
      <c r="D14" t="s">
        <v>318</v>
      </c>
      <c r="E14" t="s">
        <v>283</v>
      </c>
      <c r="F14" t="s">
        <v>57</v>
      </c>
      <c r="G14" t="s">
        <v>319</v>
      </c>
      <c r="H14" t="s">
        <v>299</v>
      </c>
      <c r="I14" t="s">
        <v>285</v>
      </c>
      <c r="J14" t="s">
        <v>304</v>
      </c>
      <c r="K14" t="s">
        <v>366</v>
      </c>
      <c r="L14">
        <f>LEN(Tabela13[[#This Row],[Largura de copa (metros)]])</f>
        <v>6</v>
      </c>
      <c r="M14" t="str">
        <f>LEFT(Tabela13[[#This Row],[Largura de copa (metros)]],LEN(Tabela13[[#This Row],[Largura de copa (metros)]])-1)</f>
        <v>10-14</v>
      </c>
      <c r="N14" s="126" t="s">
        <v>976</v>
      </c>
      <c r="O14" s="126" t="str">
        <f>"="&amp;Tabela13[[#This Row],[Coluna1]]</f>
        <v>=10-14</v>
      </c>
      <c r="P14" s="126">
        <f>10+14</f>
        <v>24</v>
      </c>
      <c r="Q14" s="126">
        <f>Tabela13[[#This Row],[Coluna 23]]/2</f>
        <v>12</v>
      </c>
      <c r="R14" t="s">
        <v>360</v>
      </c>
      <c r="S14" t="s">
        <v>361</v>
      </c>
      <c r="T14" t="s">
        <v>362</v>
      </c>
      <c r="U14" t="s">
        <v>292</v>
      </c>
      <c r="V14" t="s">
        <v>293</v>
      </c>
      <c r="W14" t="s">
        <v>294</v>
      </c>
      <c r="X14" t="s">
        <v>309</v>
      </c>
      <c r="Y14" t="s">
        <v>298</v>
      </c>
      <c r="Z14" t="s">
        <v>323</v>
      </c>
      <c r="AA14" t="s">
        <v>311</v>
      </c>
      <c r="AB14" t="s">
        <v>298</v>
      </c>
      <c r="AC14" t="s">
        <v>299</v>
      </c>
    </row>
    <row r="15" spans="1:29" s="122" customFormat="1">
      <c r="A15" s="117" t="s">
        <v>367</v>
      </c>
      <c r="B15" t="s">
        <v>368</v>
      </c>
      <c r="C15" s="117" t="s">
        <v>369</v>
      </c>
      <c r="D15" t="s">
        <v>318</v>
      </c>
      <c r="E15" t="s">
        <v>283</v>
      </c>
      <c r="F15" t="s">
        <v>57</v>
      </c>
      <c r="G15" t="s">
        <v>319</v>
      </c>
      <c r="H15" t="s">
        <v>302</v>
      </c>
      <c r="I15" t="s">
        <v>286</v>
      </c>
      <c r="J15" t="s">
        <v>370</v>
      </c>
      <c r="K15" t="s">
        <v>321</v>
      </c>
      <c r="L15">
        <f>LEN(Tabela13[[#This Row],[Largura de copa (metros)]])</f>
        <v>5</v>
      </c>
      <c r="M15" t="str">
        <f>LEFT(Tabela13[[#This Row],[Largura de copa (metros)]],LEN(Tabela13[[#This Row],[Largura de copa (metros)]])-1)</f>
        <v>8-12</v>
      </c>
      <c r="N15" s="126" t="s">
        <v>977</v>
      </c>
      <c r="O15" s="126" t="str">
        <f>"="&amp;Tabela13[[#This Row],[Coluna1]]</f>
        <v>=8-12</v>
      </c>
      <c r="P15" s="126">
        <f>8+12</f>
        <v>20</v>
      </c>
      <c r="Q15" s="126">
        <f>Tabela13[[#This Row],[Coluna 23]]/2</f>
        <v>10</v>
      </c>
      <c r="R15" t="s">
        <v>371</v>
      </c>
      <c r="S15" t="s">
        <v>372</v>
      </c>
      <c r="T15" t="s">
        <v>362</v>
      </c>
      <c r="U15" t="s">
        <v>292</v>
      </c>
      <c r="V15" t="s">
        <v>293</v>
      </c>
      <c r="W15" t="s">
        <v>294</v>
      </c>
      <c r="X15" t="s">
        <v>309</v>
      </c>
      <c r="Y15" t="s">
        <v>325</v>
      </c>
      <c r="Z15" t="s">
        <v>310</v>
      </c>
      <c r="AA15" t="s">
        <v>324</v>
      </c>
      <c r="AB15" t="s">
        <v>294</v>
      </c>
      <c r="AC15" t="s">
        <v>373</v>
      </c>
    </row>
    <row r="16" spans="1:29">
      <c r="A16" s="117" t="s">
        <v>374</v>
      </c>
      <c r="B16" t="s">
        <v>375</v>
      </c>
      <c r="C16" s="117" t="s">
        <v>369</v>
      </c>
      <c r="D16" t="s">
        <v>318</v>
      </c>
      <c r="E16" t="s">
        <v>283</v>
      </c>
      <c r="F16" t="s">
        <v>57</v>
      </c>
      <c r="G16" t="s">
        <v>319</v>
      </c>
      <c r="H16" t="s">
        <v>285</v>
      </c>
      <c r="I16" t="s">
        <v>285</v>
      </c>
      <c r="J16" t="s">
        <v>370</v>
      </c>
      <c r="K16" t="s">
        <v>376</v>
      </c>
      <c r="L16">
        <f>LEN(Tabela13[[#This Row],[Largura de copa (metros)]])</f>
        <v>4</v>
      </c>
      <c r="M16" t="str">
        <f>LEFT(Tabela13[[#This Row],[Largura de copa (metros)]],LEN(Tabela13[[#This Row],[Largura de copa (metros)]])-1)</f>
        <v>4-8</v>
      </c>
      <c r="N16" s="126" t="s">
        <v>978</v>
      </c>
      <c r="O16" s="126" t="str">
        <f>"="&amp;Tabela13[[#This Row],[Coluna1]]</f>
        <v>=4-8</v>
      </c>
      <c r="P16" s="126">
        <f>4+8</f>
        <v>12</v>
      </c>
      <c r="Q16" s="126">
        <f>Tabela13[[#This Row],[Coluna 23]]/2</f>
        <v>6</v>
      </c>
      <c r="R16" t="s">
        <v>349</v>
      </c>
      <c r="S16" t="s">
        <v>341</v>
      </c>
      <c r="T16" t="s">
        <v>291</v>
      </c>
      <c r="U16" t="s">
        <v>292</v>
      </c>
      <c r="V16" t="s">
        <v>293</v>
      </c>
      <c r="W16" t="s">
        <v>294</v>
      </c>
      <c r="X16" t="s">
        <v>295</v>
      </c>
      <c r="Y16" t="s">
        <v>325</v>
      </c>
      <c r="Z16" t="s">
        <v>323</v>
      </c>
      <c r="AA16" t="s">
        <v>324</v>
      </c>
      <c r="AB16" t="s">
        <v>325</v>
      </c>
      <c r="AC16" t="s">
        <v>377</v>
      </c>
    </row>
    <row r="17" spans="1:29">
      <c r="A17" s="117" t="s">
        <v>379</v>
      </c>
      <c r="B17" t="s">
        <v>380</v>
      </c>
      <c r="C17" s="117" t="s">
        <v>381</v>
      </c>
      <c r="D17" t="s">
        <v>382</v>
      </c>
      <c r="E17" t="s">
        <v>353</v>
      </c>
      <c r="F17" t="s">
        <v>57</v>
      </c>
      <c r="G17" t="s">
        <v>319</v>
      </c>
      <c r="H17" t="s">
        <v>302</v>
      </c>
      <c r="I17" t="s">
        <v>286</v>
      </c>
      <c r="J17" t="s">
        <v>383</v>
      </c>
      <c r="K17" t="s">
        <v>288</v>
      </c>
      <c r="L17">
        <f>LEN(Tabela13[[#This Row],[Largura de copa (metros)]])</f>
        <v>4</v>
      </c>
      <c r="M17" t="str">
        <f>LEFT(Tabela13[[#This Row],[Largura de copa (metros)]],LEN(Tabela13[[#This Row],[Largura de copa (metros)]])-1)</f>
        <v>6-8</v>
      </c>
      <c r="N17" s="126" t="s">
        <v>968</v>
      </c>
      <c r="O17" s="126" t="str">
        <f>"="&amp;Tabela13[[#This Row],[Coluna1]]</f>
        <v>=6-8</v>
      </c>
      <c r="P17" s="126">
        <f>6+8</f>
        <v>14</v>
      </c>
      <c r="Q17" s="126">
        <f>Tabela13[[#This Row],[Coluna 23]]/2</f>
        <v>7</v>
      </c>
      <c r="R17" t="s">
        <v>347</v>
      </c>
      <c r="S17" t="s">
        <v>290</v>
      </c>
      <c r="T17" t="s">
        <v>291</v>
      </c>
      <c r="U17" t="s">
        <v>292</v>
      </c>
      <c r="V17" t="s">
        <v>384</v>
      </c>
      <c r="W17" t="s">
        <v>294</v>
      </c>
      <c r="X17" t="s">
        <v>309</v>
      </c>
      <c r="Y17" t="s">
        <v>294</v>
      </c>
      <c r="Z17" t="s">
        <v>323</v>
      </c>
      <c r="AA17" t="s">
        <v>311</v>
      </c>
      <c r="AB17" t="s">
        <v>298</v>
      </c>
      <c r="AC17" t="s">
        <v>385</v>
      </c>
    </row>
    <row r="18" spans="1:29">
      <c r="A18" s="117" t="s">
        <v>386</v>
      </c>
      <c r="B18" t="s">
        <v>387</v>
      </c>
      <c r="C18" s="117" t="s">
        <v>388</v>
      </c>
      <c r="D18" t="s">
        <v>389</v>
      </c>
      <c r="E18" t="s">
        <v>283</v>
      </c>
      <c r="F18" t="s">
        <v>57</v>
      </c>
      <c r="G18" t="s">
        <v>284</v>
      </c>
      <c r="H18" t="s">
        <v>285</v>
      </c>
      <c r="I18" t="s">
        <v>286</v>
      </c>
      <c r="J18" t="s">
        <v>287</v>
      </c>
      <c r="K18" t="s">
        <v>327</v>
      </c>
      <c r="L18">
        <f>LEN(Tabela13[[#This Row],[Largura de copa (metros)]])</f>
        <v>4</v>
      </c>
      <c r="M18" t="str">
        <f>LEFT(Tabela13[[#This Row],[Largura de copa (metros)]],LEN(Tabela13[[#This Row],[Largura de copa (metros)]])-1)</f>
        <v>5-8</v>
      </c>
      <c r="N18" s="126" t="s">
        <v>970</v>
      </c>
      <c r="O18" s="126" t="str">
        <f>"="&amp;Tabela13[[#This Row],[Coluna1]]</f>
        <v>=5-8</v>
      </c>
      <c r="P18" s="126">
        <f>5+8</f>
        <v>13</v>
      </c>
      <c r="Q18" s="126">
        <f>Tabela13[[#This Row],[Coluna 23]]/2</f>
        <v>6.5</v>
      </c>
      <c r="R18" t="s">
        <v>354</v>
      </c>
      <c r="S18" t="s">
        <v>305</v>
      </c>
      <c r="T18" t="s">
        <v>291</v>
      </c>
      <c r="U18" t="s">
        <v>292</v>
      </c>
      <c r="V18" t="s">
        <v>363</v>
      </c>
      <c r="W18" t="s">
        <v>298</v>
      </c>
      <c r="X18" t="s">
        <v>390</v>
      </c>
      <c r="Y18" t="s">
        <v>294</v>
      </c>
      <c r="Z18" t="s">
        <v>323</v>
      </c>
      <c r="AA18" t="s">
        <v>297</v>
      </c>
      <c r="AB18" t="s">
        <v>298</v>
      </c>
      <c r="AC18" t="s">
        <v>299</v>
      </c>
    </row>
    <row r="19" spans="1:29">
      <c r="A19" s="117" t="s">
        <v>391</v>
      </c>
      <c r="B19" t="s">
        <v>392</v>
      </c>
      <c r="C19" s="117" t="s">
        <v>393</v>
      </c>
      <c r="D19" t="s">
        <v>394</v>
      </c>
      <c r="E19" t="s">
        <v>353</v>
      </c>
      <c r="F19" t="s">
        <v>57</v>
      </c>
      <c r="G19" t="s">
        <v>284</v>
      </c>
      <c r="H19" t="s">
        <v>299</v>
      </c>
      <c r="I19" t="s">
        <v>299</v>
      </c>
      <c r="J19" t="s">
        <v>320</v>
      </c>
      <c r="K19" t="s">
        <v>288</v>
      </c>
      <c r="L19">
        <f>LEN(Tabela13[[#This Row],[Largura de copa (metros)]])</f>
        <v>4</v>
      </c>
      <c r="M19" t="str">
        <f>LEFT(Tabela13[[#This Row],[Largura de copa (metros)]],LEN(Tabela13[[#This Row],[Largura de copa (metros)]])-1)</f>
        <v>6-8</v>
      </c>
      <c r="N19" s="126" t="s">
        <v>968</v>
      </c>
      <c r="O19" s="126" t="str">
        <f>"="&amp;Tabela13[[#This Row],[Coluna1]]</f>
        <v>=6-8</v>
      </c>
      <c r="P19" s="126">
        <f>6+8</f>
        <v>14</v>
      </c>
      <c r="Q19" s="126">
        <f>Tabela13[[#This Row],[Coluna 23]]/2</f>
        <v>7</v>
      </c>
      <c r="R19" t="s">
        <v>395</v>
      </c>
      <c r="S19" t="s">
        <v>290</v>
      </c>
      <c r="T19" t="s">
        <v>291</v>
      </c>
      <c r="U19" t="s">
        <v>378</v>
      </c>
      <c r="V19" t="s">
        <v>384</v>
      </c>
      <c r="W19" t="s">
        <v>294</v>
      </c>
      <c r="X19" t="s">
        <v>309</v>
      </c>
      <c r="Y19" t="s">
        <v>294</v>
      </c>
      <c r="Z19" t="s">
        <v>323</v>
      </c>
      <c r="AA19" t="s">
        <v>299</v>
      </c>
      <c r="AB19" t="s">
        <v>325</v>
      </c>
      <c r="AC19" t="s">
        <v>396</v>
      </c>
    </row>
    <row r="20" spans="1:29">
      <c r="A20" s="117" t="s">
        <v>397</v>
      </c>
      <c r="B20" t="s">
        <v>398</v>
      </c>
      <c r="C20" s="117" t="s">
        <v>399</v>
      </c>
      <c r="D20" t="s">
        <v>400</v>
      </c>
      <c r="E20" t="s">
        <v>283</v>
      </c>
      <c r="F20" t="s">
        <v>57</v>
      </c>
      <c r="G20" t="s">
        <v>284</v>
      </c>
      <c r="H20" t="s">
        <v>299</v>
      </c>
      <c r="I20" t="s">
        <v>285</v>
      </c>
      <c r="J20" t="s">
        <v>339</v>
      </c>
      <c r="K20" t="s">
        <v>401</v>
      </c>
      <c r="L20">
        <f>LEN(Tabela13[[#This Row],[Largura de copa (metros)]])</f>
        <v>4</v>
      </c>
      <c r="M20" t="str">
        <f>LEFT(Tabela13[[#This Row],[Largura de copa (metros)]],LEN(Tabela13[[#This Row],[Largura de copa (metros)]])-1)</f>
        <v>2-8</v>
      </c>
      <c r="N20" s="126" t="s">
        <v>979</v>
      </c>
      <c r="O20" s="126" t="str">
        <f>"="&amp;Tabela13[[#This Row],[Coluna1]]</f>
        <v>=2-8</v>
      </c>
      <c r="P20" s="126">
        <f>2+8</f>
        <v>10</v>
      </c>
      <c r="Q20" s="126">
        <f>Tabela13[[#This Row],[Coluna 23]]/2</f>
        <v>5</v>
      </c>
      <c r="R20" t="s">
        <v>402</v>
      </c>
      <c r="S20" t="s">
        <v>403</v>
      </c>
      <c r="T20" t="s">
        <v>291</v>
      </c>
      <c r="U20" t="s">
        <v>378</v>
      </c>
      <c r="V20" t="s">
        <v>299</v>
      </c>
      <c r="W20" t="s">
        <v>299</v>
      </c>
      <c r="X20" t="s">
        <v>299</v>
      </c>
      <c r="Y20" t="s">
        <v>299</v>
      </c>
      <c r="Z20" t="s">
        <v>310</v>
      </c>
      <c r="AA20" t="s">
        <v>324</v>
      </c>
      <c r="AB20" t="s">
        <v>299</v>
      </c>
      <c r="AC20" t="s">
        <v>299</v>
      </c>
    </row>
    <row r="21" spans="1:29">
      <c r="A21" s="117" t="s">
        <v>404</v>
      </c>
      <c r="B21" t="s">
        <v>405</v>
      </c>
      <c r="C21" s="117" t="s">
        <v>406</v>
      </c>
      <c r="D21" t="s">
        <v>382</v>
      </c>
      <c r="E21" t="s">
        <v>283</v>
      </c>
      <c r="F21" t="s">
        <v>57</v>
      </c>
      <c r="G21" t="s">
        <v>319</v>
      </c>
      <c r="H21" t="s">
        <v>285</v>
      </c>
      <c r="I21" t="s">
        <v>286</v>
      </c>
      <c r="J21" t="s">
        <v>407</v>
      </c>
      <c r="K21" t="s">
        <v>372</v>
      </c>
      <c r="L21">
        <f>LEN(Tabela13[[#This Row],[Largura de copa (metros)]])</f>
        <v>5</v>
      </c>
      <c r="M21" t="str">
        <f>LEFT(Tabela13[[#This Row],[Largura de copa (metros)]],LEN(Tabela13[[#This Row],[Largura de copa (metros)]])-1)</f>
        <v>6-10</v>
      </c>
      <c r="N21" s="126" t="s">
        <v>980</v>
      </c>
      <c r="O21" s="126" t="str">
        <f>"="&amp;Tabela13[[#This Row],[Coluna1]]</f>
        <v>=6-10</v>
      </c>
      <c r="P21" s="126">
        <f>6+10</f>
        <v>16</v>
      </c>
      <c r="Q21" s="126">
        <f>Tabela13[[#This Row],[Coluna 23]]/2</f>
        <v>8</v>
      </c>
      <c r="R21" t="s">
        <v>360</v>
      </c>
      <c r="S21" t="s">
        <v>327</v>
      </c>
      <c r="T21" t="s">
        <v>291</v>
      </c>
      <c r="U21" t="s">
        <v>292</v>
      </c>
      <c r="V21" t="s">
        <v>408</v>
      </c>
      <c r="W21" t="s">
        <v>299</v>
      </c>
      <c r="X21" t="s">
        <v>309</v>
      </c>
      <c r="Y21" t="s">
        <v>325</v>
      </c>
      <c r="Z21" t="s">
        <v>323</v>
      </c>
      <c r="AA21" t="s">
        <v>299</v>
      </c>
      <c r="AB21" t="s">
        <v>298</v>
      </c>
      <c r="AC21" t="s">
        <v>299</v>
      </c>
    </row>
    <row r="22" spans="1:29">
      <c r="A22" s="117" t="s">
        <v>409</v>
      </c>
      <c r="B22" t="s">
        <v>410</v>
      </c>
      <c r="C22" s="117" t="s">
        <v>406</v>
      </c>
      <c r="D22" t="s">
        <v>382</v>
      </c>
      <c r="E22" t="s">
        <v>283</v>
      </c>
      <c r="F22" t="s">
        <v>57</v>
      </c>
      <c r="G22" t="s">
        <v>319</v>
      </c>
      <c r="H22" t="s">
        <v>302</v>
      </c>
      <c r="I22" t="s">
        <v>285</v>
      </c>
      <c r="J22" t="s">
        <v>304</v>
      </c>
      <c r="K22" t="s">
        <v>305</v>
      </c>
      <c r="L22">
        <f>LEN(Tabela13[[#This Row],[Largura de copa (metros)]])</f>
        <v>4</v>
      </c>
      <c r="M22" t="str">
        <f>LEFT(Tabela13[[#This Row],[Largura de copa (metros)]],LEN(Tabela13[[#This Row],[Largura de copa (metros)]])-1)</f>
        <v>4-6</v>
      </c>
      <c r="N22" s="126" t="s">
        <v>969</v>
      </c>
      <c r="O22" s="126" t="str">
        <f>"="&amp;Tabela13[[#This Row],[Coluna1]]</f>
        <v>=4-6</v>
      </c>
      <c r="P22" s="126">
        <f>4+6</f>
        <v>10</v>
      </c>
      <c r="Q22" s="126">
        <f>Tabela13[[#This Row],[Coluna 23]]/2</f>
        <v>5</v>
      </c>
      <c r="R22" t="s">
        <v>411</v>
      </c>
      <c r="S22" t="s">
        <v>306</v>
      </c>
      <c r="T22" t="s">
        <v>291</v>
      </c>
      <c r="U22" t="s">
        <v>292</v>
      </c>
      <c r="V22" t="s">
        <v>313</v>
      </c>
      <c r="W22" t="s">
        <v>294</v>
      </c>
      <c r="X22" t="s">
        <v>295</v>
      </c>
      <c r="Y22" t="s">
        <v>325</v>
      </c>
      <c r="Z22" t="s">
        <v>310</v>
      </c>
      <c r="AA22" t="s">
        <v>297</v>
      </c>
      <c r="AB22" t="s">
        <v>325</v>
      </c>
      <c r="AC22" t="s">
        <v>385</v>
      </c>
    </row>
    <row r="23" spans="1:29">
      <c r="A23" s="117" t="s">
        <v>412</v>
      </c>
      <c r="B23" t="s">
        <v>299</v>
      </c>
      <c r="C23" s="117" t="s">
        <v>406</v>
      </c>
      <c r="D23" t="s">
        <v>382</v>
      </c>
      <c r="E23" t="s">
        <v>283</v>
      </c>
      <c r="F23" t="s">
        <v>57</v>
      </c>
      <c r="G23" t="s">
        <v>319</v>
      </c>
      <c r="H23" t="s">
        <v>302</v>
      </c>
      <c r="I23" t="s">
        <v>286</v>
      </c>
      <c r="J23" t="s">
        <v>413</v>
      </c>
      <c r="K23" t="s">
        <v>305</v>
      </c>
      <c r="L23">
        <f>LEN(Tabela13[[#This Row],[Largura de copa (metros)]])</f>
        <v>4</v>
      </c>
      <c r="M23" t="str">
        <f>LEFT(Tabela13[[#This Row],[Largura de copa (metros)]],LEN(Tabela13[[#This Row],[Largura de copa (metros)]])-1)</f>
        <v>4-6</v>
      </c>
      <c r="N23" s="126" t="s">
        <v>969</v>
      </c>
      <c r="O23" s="126" t="str">
        <f>"="&amp;Tabela13[[#This Row],[Coluna1]]</f>
        <v>=4-6</v>
      </c>
      <c r="P23" s="126">
        <f>4+6</f>
        <v>10</v>
      </c>
      <c r="Q23" s="126">
        <f>Tabela13[[#This Row],[Coluna 23]]/2</f>
        <v>5</v>
      </c>
      <c r="R23" t="s">
        <v>347</v>
      </c>
      <c r="S23" t="s">
        <v>306</v>
      </c>
      <c r="T23" t="s">
        <v>291</v>
      </c>
      <c r="U23" t="s">
        <v>292</v>
      </c>
      <c r="V23" t="s">
        <v>313</v>
      </c>
      <c r="W23" t="s">
        <v>294</v>
      </c>
      <c r="X23" t="s">
        <v>295</v>
      </c>
      <c r="Y23" t="s">
        <v>325</v>
      </c>
      <c r="Z23" t="s">
        <v>310</v>
      </c>
      <c r="AA23" t="s">
        <v>297</v>
      </c>
      <c r="AB23" t="s">
        <v>298</v>
      </c>
      <c r="AC23" t="s">
        <v>385</v>
      </c>
    </row>
    <row r="24" spans="1:29">
      <c r="A24" s="117" t="s">
        <v>414</v>
      </c>
      <c r="B24" t="s">
        <v>415</v>
      </c>
      <c r="C24" s="117" t="s">
        <v>406</v>
      </c>
      <c r="D24" t="s">
        <v>382</v>
      </c>
      <c r="E24" t="s">
        <v>283</v>
      </c>
      <c r="F24" t="s">
        <v>57</v>
      </c>
      <c r="G24" t="s">
        <v>319</v>
      </c>
      <c r="H24" t="s">
        <v>302</v>
      </c>
      <c r="I24" t="s">
        <v>285</v>
      </c>
      <c r="J24" t="s">
        <v>416</v>
      </c>
      <c r="K24" t="s">
        <v>305</v>
      </c>
      <c r="L24">
        <f>LEN(Tabela13[[#This Row],[Largura de copa (metros)]])</f>
        <v>4</v>
      </c>
      <c r="M24" t="str">
        <f>LEFT(Tabela13[[#This Row],[Largura de copa (metros)]],LEN(Tabela13[[#This Row],[Largura de copa (metros)]])-1)</f>
        <v>4-6</v>
      </c>
      <c r="N24" s="126" t="s">
        <v>969</v>
      </c>
      <c r="O24" s="126" t="str">
        <f>"="&amp;Tabela13[[#This Row],[Coluna1]]</f>
        <v>=4-6</v>
      </c>
      <c r="P24" s="126">
        <f>4+6</f>
        <v>10</v>
      </c>
      <c r="Q24" s="126">
        <f>Tabela13[[#This Row],[Coluna 23]]/2</f>
        <v>5</v>
      </c>
      <c r="R24" t="s">
        <v>417</v>
      </c>
      <c r="S24" t="s">
        <v>306</v>
      </c>
      <c r="T24" t="s">
        <v>291</v>
      </c>
      <c r="U24" t="s">
        <v>292</v>
      </c>
      <c r="V24" t="s">
        <v>313</v>
      </c>
      <c r="W24" t="s">
        <v>294</v>
      </c>
      <c r="X24" t="s">
        <v>295</v>
      </c>
      <c r="Y24" t="s">
        <v>294</v>
      </c>
      <c r="Z24" t="s">
        <v>323</v>
      </c>
      <c r="AA24" t="s">
        <v>297</v>
      </c>
      <c r="AB24" t="s">
        <v>298</v>
      </c>
      <c r="AC24" t="s">
        <v>385</v>
      </c>
    </row>
    <row r="25" spans="1:29">
      <c r="A25" s="117" t="s">
        <v>418</v>
      </c>
      <c r="B25" t="s">
        <v>419</v>
      </c>
      <c r="C25" s="117" t="s">
        <v>406</v>
      </c>
      <c r="D25" t="s">
        <v>382</v>
      </c>
      <c r="E25" t="s">
        <v>353</v>
      </c>
      <c r="F25" t="s">
        <v>57</v>
      </c>
      <c r="G25" t="s">
        <v>319</v>
      </c>
      <c r="H25" t="s">
        <v>302</v>
      </c>
      <c r="I25" t="s">
        <v>285</v>
      </c>
      <c r="J25" t="s">
        <v>416</v>
      </c>
      <c r="K25" t="s">
        <v>305</v>
      </c>
      <c r="L25">
        <f>LEN(Tabela13[[#This Row],[Largura de copa (metros)]])</f>
        <v>4</v>
      </c>
      <c r="M25" t="str">
        <f>LEFT(Tabela13[[#This Row],[Largura de copa (metros)]],LEN(Tabela13[[#This Row],[Largura de copa (metros)]])-1)</f>
        <v>4-6</v>
      </c>
      <c r="N25" s="126" t="s">
        <v>969</v>
      </c>
      <c r="O25" s="126" t="str">
        <f>"="&amp;Tabela13[[#This Row],[Coluna1]]</f>
        <v>=4-6</v>
      </c>
      <c r="P25" s="126">
        <f>4+6</f>
        <v>10</v>
      </c>
      <c r="Q25" s="126">
        <f>Tabela13[[#This Row],[Coluna 23]]/2</f>
        <v>5</v>
      </c>
      <c r="R25" t="s">
        <v>411</v>
      </c>
      <c r="S25" t="s">
        <v>306</v>
      </c>
      <c r="T25" t="s">
        <v>291</v>
      </c>
      <c r="U25" t="s">
        <v>292</v>
      </c>
      <c r="V25" t="s">
        <v>313</v>
      </c>
      <c r="W25" t="s">
        <v>294</v>
      </c>
      <c r="X25" t="s">
        <v>295</v>
      </c>
      <c r="Y25" t="s">
        <v>325</v>
      </c>
      <c r="Z25" t="s">
        <v>323</v>
      </c>
      <c r="AA25" t="s">
        <v>297</v>
      </c>
      <c r="AB25" t="s">
        <v>298</v>
      </c>
      <c r="AC25" t="s">
        <v>385</v>
      </c>
    </row>
    <row r="26" spans="1:29">
      <c r="A26" s="117" t="s">
        <v>420</v>
      </c>
      <c r="B26" t="s">
        <v>421</v>
      </c>
      <c r="C26" s="117" t="s">
        <v>422</v>
      </c>
      <c r="D26" t="s">
        <v>423</v>
      </c>
      <c r="E26" t="s">
        <v>283</v>
      </c>
      <c r="F26" t="s">
        <v>57</v>
      </c>
      <c r="G26" t="s">
        <v>284</v>
      </c>
      <c r="H26" t="s">
        <v>285</v>
      </c>
      <c r="I26" t="s">
        <v>285</v>
      </c>
      <c r="J26" t="s">
        <v>424</v>
      </c>
      <c r="K26" t="s">
        <v>305</v>
      </c>
      <c r="L26">
        <f>LEN(Tabela13[[#This Row],[Largura de copa (metros)]])</f>
        <v>4</v>
      </c>
      <c r="M26" t="str">
        <f>LEFT(Tabela13[[#This Row],[Largura de copa (metros)]],LEN(Tabela13[[#This Row],[Largura de copa (metros)]])-1)</f>
        <v>4-6</v>
      </c>
      <c r="N26" s="126" t="s">
        <v>969</v>
      </c>
      <c r="O26" s="126" t="str">
        <f>"="&amp;Tabela13[[#This Row],[Coluna1]]</f>
        <v>=4-6</v>
      </c>
      <c r="P26" s="126">
        <f>4+6</f>
        <v>10</v>
      </c>
      <c r="Q26" s="126">
        <f>Tabela13[[#This Row],[Coluna 23]]/2</f>
        <v>5</v>
      </c>
      <c r="R26" t="s">
        <v>349</v>
      </c>
      <c r="S26" t="s">
        <v>306</v>
      </c>
      <c r="T26" t="s">
        <v>291</v>
      </c>
      <c r="U26" t="s">
        <v>307</v>
      </c>
      <c r="V26" t="s">
        <v>313</v>
      </c>
      <c r="W26" t="s">
        <v>294</v>
      </c>
      <c r="X26" t="s">
        <v>309</v>
      </c>
      <c r="Y26" t="s">
        <v>325</v>
      </c>
      <c r="Z26" t="s">
        <v>323</v>
      </c>
      <c r="AA26" t="s">
        <v>297</v>
      </c>
      <c r="AB26" t="s">
        <v>294</v>
      </c>
      <c r="AC26" t="s">
        <v>299</v>
      </c>
    </row>
    <row r="27" spans="1:29" s="121" customFormat="1">
      <c r="A27" s="120" t="s">
        <v>425</v>
      </c>
      <c r="B27" s="121" t="s">
        <v>426</v>
      </c>
      <c r="C27" s="120" t="s">
        <v>427</v>
      </c>
      <c r="D27" s="121" t="s">
        <v>428</v>
      </c>
      <c r="E27" s="121" t="s">
        <v>353</v>
      </c>
      <c r="F27" s="121" t="s">
        <v>57</v>
      </c>
      <c r="G27" s="121" t="s">
        <v>284</v>
      </c>
      <c r="H27" t="s">
        <v>285</v>
      </c>
      <c r="I27" s="121" t="s">
        <v>303</v>
      </c>
      <c r="J27" s="121" t="s">
        <v>304</v>
      </c>
      <c r="K27" s="121" t="s">
        <v>376</v>
      </c>
      <c r="L27" s="121">
        <f>LEN(Tabela13[[#This Row],[Largura de copa (metros)]])</f>
        <v>4</v>
      </c>
      <c r="M27" s="121" t="str">
        <f>LEFT(Tabela13[[#This Row],[Largura de copa (metros)]],LEN(Tabela13[[#This Row],[Largura de copa (metros)]])-1)</f>
        <v>4-8</v>
      </c>
      <c r="N27" s="127" t="s">
        <v>978</v>
      </c>
      <c r="O27" s="127" t="str">
        <f>"="&amp;Tabela13[[#This Row],[Coluna1]]</f>
        <v>=4-8</v>
      </c>
      <c r="P27" s="127">
        <f>4+8</f>
        <v>12</v>
      </c>
      <c r="Q27" s="127">
        <f>Tabela13[[#This Row],[Coluna 23]]/2</f>
        <v>6</v>
      </c>
      <c r="R27" s="121" t="s">
        <v>306</v>
      </c>
      <c r="S27" s="121" t="s">
        <v>341</v>
      </c>
      <c r="T27" t="s">
        <v>291</v>
      </c>
      <c r="U27" t="s">
        <v>307</v>
      </c>
      <c r="V27" s="121" t="s">
        <v>299</v>
      </c>
      <c r="W27" s="121" t="s">
        <v>299</v>
      </c>
      <c r="X27" s="121" t="s">
        <v>299</v>
      </c>
      <c r="Y27" s="121" t="s">
        <v>299</v>
      </c>
      <c r="Z27" s="121" t="s">
        <v>323</v>
      </c>
      <c r="AA27" s="121" t="s">
        <v>324</v>
      </c>
      <c r="AB27" s="121" t="s">
        <v>299</v>
      </c>
      <c r="AC27" s="121" t="s">
        <v>429</v>
      </c>
    </row>
    <row r="28" spans="1:29">
      <c r="A28" s="117" t="s">
        <v>430</v>
      </c>
      <c r="B28" t="s">
        <v>431</v>
      </c>
      <c r="C28" s="117" t="s">
        <v>432</v>
      </c>
      <c r="D28" t="s">
        <v>433</v>
      </c>
      <c r="E28" t="s">
        <v>283</v>
      </c>
      <c r="F28" t="s">
        <v>57</v>
      </c>
      <c r="G28" t="s">
        <v>284</v>
      </c>
      <c r="H28" t="s">
        <v>299</v>
      </c>
      <c r="I28" t="s">
        <v>299</v>
      </c>
      <c r="J28" t="s">
        <v>320</v>
      </c>
      <c r="K28" t="s">
        <v>434</v>
      </c>
      <c r="L28">
        <f>LEN(Tabela13[[#This Row],[Largura de copa (metros)]])</f>
        <v>6</v>
      </c>
      <c r="M28" t="str">
        <f>LEFT(Tabela13[[#This Row],[Largura de copa (metros)]],LEN(Tabela13[[#This Row],[Largura de copa (metros)]])-1)</f>
        <v>1,5-4</v>
      </c>
      <c r="N28" s="126" t="s">
        <v>981</v>
      </c>
      <c r="O28" s="126" t="str">
        <f>"="&amp;Tabela13[[#This Row],[Coluna1]]</f>
        <v>=1,5-4</v>
      </c>
      <c r="P28" s="126">
        <f>1.5+4</f>
        <v>5.5</v>
      </c>
      <c r="Q28" s="126">
        <f>Tabela13[[#This Row],[Coluna 23]]/2</f>
        <v>2.75</v>
      </c>
      <c r="R28" t="s">
        <v>435</v>
      </c>
      <c r="S28" t="s">
        <v>434</v>
      </c>
      <c r="T28" t="s">
        <v>342</v>
      </c>
      <c r="U28" t="s">
        <v>307</v>
      </c>
      <c r="V28" t="s">
        <v>299</v>
      </c>
      <c r="W28" t="s">
        <v>299</v>
      </c>
      <c r="X28" t="s">
        <v>299</v>
      </c>
      <c r="Y28" t="s">
        <v>299</v>
      </c>
      <c r="Z28" t="s">
        <v>299</v>
      </c>
      <c r="AA28" t="s">
        <v>299</v>
      </c>
      <c r="AB28" t="s">
        <v>299</v>
      </c>
      <c r="AC28" t="s">
        <v>299</v>
      </c>
    </row>
    <row r="29" spans="1:29">
      <c r="A29" s="117" t="s">
        <v>436</v>
      </c>
      <c r="B29" t="s">
        <v>437</v>
      </c>
      <c r="C29" s="117" t="s">
        <v>438</v>
      </c>
      <c r="D29" t="s">
        <v>439</v>
      </c>
      <c r="E29" t="s">
        <v>283</v>
      </c>
      <c r="F29" t="s">
        <v>57</v>
      </c>
      <c r="G29" t="s">
        <v>284</v>
      </c>
      <c r="H29" t="s">
        <v>299</v>
      </c>
      <c r="I29" t="s">
        <v>303</v>
      </c>
      <c r="J29" t="s">
        <v>304</v>
      </c>
      <c r="K29" t="s">
        <v>440</v>
      </c>
      <c r="L29">
        <f>LEN(Tabela13[[#This Row],[Largura de copa (metros)]])</f>
        <v>4</v>
      </c>
      <c r="M29" t="str">
        <f>LEFT(Tabela13[[#This Row],[Largura de copa (metros)]],LEN(Tabela13[[#This Row],[Largura de copa (metros)]])-1)</f>
        <v>1-3</v>
      </c>
      <c r="N29" s="126" t="s">
        <v>982</v>
      </c>
      <c r="O29" s="126" t="str">
        <f>"="&amp;Tabela13[[#This Row],[Coluna1]]</f>
        <v>=1-3</v>
      </c>
      <c r="P29" s="126">
        <f>1+3</f>
        <v>4</v>
      </c>
      <c r="Q29" s="126">
        <f>Tabela13[[#This Row],[Coluna 23]]/2</f>
        <v>2</v>
      </c>
      <c r="R29" t="s">
        <v>441</v>
      </c>
      <c r="S29" t="s">
        <v>440</v>
      </c>
      <c r="T29" t="s">
        <v>342</v>
      </c>
      <c r="U29" t="s">
        <v>307</v>
      </c>
      <c r="V29" t="s">
        <v>299</v>
      </c>
      <c r="W29" t="s">
        <v>299</v>
      </c>
      <c r="X29" t="s">
        <v>309</v>
      </c>
      <c r="Y29" t="s">
        <v>298</v>
      </c>
      <c r="Z29" t="s">
        <v>296</v>
      </c>
      <c r="AA29" t="s">
        <v>324</v>
      </c>
      <c r="AB29" t="s">
        <v>298</v>
      </c>
      <c r="AC29" t="s">
        <v>299</v>
      </c>
    </row>
    <row r="30" spans="1:29">
      <c r="A30" s="117" t="s">
        <v>442</v>
      </c>
      <c r="B30" t="s">
        <v>437</v>
      </c>
      <c r="C30" s="117" t="s">
        <v>438</v>
      </c>
      <c r="D30" t="s">
        <v>439</v>
      </c>
      <c r="E30" t="s">
        <v>283</v>
      </c>
      <c r="F30" t="s">
        <v>57</v>
      </c>
      <c r="G30" t="s">
        <v>284</v>
      </c>
      <c r="H30" t="s">
        <v>299</v>
      </c>
      <c r="I30" t="s">
        <v>299</v>
      </c>
      <c r="J30" t="s">
        <v>304</v>
      </c>
      <c r="K30" t="s">
        <v>443</v>
      </c>
      <c r="L30">
        <f>LEN(Tabela13[[#This Row],[Largura de copa (metros)]])</f>
        <v>2</v>
      </c>
      <c r="M30" t="str">
        <f>LEFT(Tabela13[[#This Row],[Largura de copa (metros)]],LEN(Tabela13[[#This Row],[Largura de copa (metros)]])-1)</f>
        <v>5</v>
      </c>
      <c r="N30" s="126" t="s">
        <v>983</v>
      </c>
      <c r="O30" s="126" t="str">
        <f>"="&amp;Tabela13[[#This Row],[Coluna1]]</f>
        <v>=5</v>
      </c>
      <c r="P30" s="126">
        <v>5</v>
      </c>
      <c r="Q30" s="126">
        <f>Tabela13[[#This Row],[Coluna 23]]/2</f>
        <v>2.5</v>
      </c>
      <c r="R30" t="s">
        <v>443</v>
      </c>
      <c r="S30" t="s">
        <v>444</v>
      </c>
      <c r="T30" t="s">
        <v>342</v>
      </c>
      <c r="U30" t="s">
        <v>307</v>
      </c>
      <c r="V30" t="s">
        <v>299</v>
      </c>
      <c r="W30" t="s">
        <v>299</v>
      </c>
      <c r="X30" t="s">
        <v>299</v>
      </c>
      <c r="Y30" t="s">
        <v>299</v>
      </c>
      <c r="Z30" t="s">
        <v>299</v>
      </c>
      <c r="AA30" t="s">
        <v>299</v>
      </c>
      <c r="AB30" t="s">
        <v>299</v>
      </c>
      <c r="AC30" t="s">
        <v>299</v>
      </c>
    </row>
    <row r="31" spans="1:29">
      <c r="A31" s="117" t="s">
        <v>445</v>
      </c>
      <c r="B31" t="s">
        <v>446</v>
      </c>
      <c r="C31" s="117" t="s">
        <v>447</v>
      </c>
      <c r="D31" t="s">
        <v>448</v>
      </c>
      <c r="E31" t="s">
        <v>283</v>
      </c>
      <c r="F31" t="s">
        <v>57</v>
      </c>
      <c r="G31" t="s">
        <v>319</v>
      </c>
      <c r="H31" t="s">
        <v>302</v>
      </c>
      <c r="I31" t="s">
        <v>285</v>
      </c>
      <c r="J31" t="s">
        <v>304</v>
      </c>
      <c r="K31" t="s">
        <v>328</v>
      </c>
      <c r="L31">
        <f>LEN(Tabela13[[#This Row],[Largura de copa (metros)]])</f>
        <v>6</v>
      </c>
      <c r="M31" t="str">
        <f>LEFT(Tabela13[[#This Row],[Largura de copa (metros)]],LEN(Tabela13[[#This Row],[Largura de copa (metros)]])-1)</f>
        <v>12-15</v>
      </c>
      <c r="N31" s="126" t="s">
        <v>984</v>
      </c>
      <c r="O31" s="126" t="str">
        <f>"="&amp;Tabela13[[#This Row],[Coluna1]]</f>
        <v>=12-15</v>
      </c>
      <c r="P31" s="126">
        <f>12+15</f>
        <v>27</v>
      </c>
      <c r="Q31" s="126">
        <f>Tabela13[[#This Row],[Coluna 23]]/2</f>
        <v>13.5</v>
      </c>
      <c r="R31" t="s">
        <v>449</v>
      </c>
      <c r="S31" t="s">
        <v>402</v>
      </c>
      <c r="T31" t="s">
        <v>362</v>
      </c>
      <c r="U31" t="s">
        <v>292</v>
      </c>
      <c r="V31" t="s">
        <v>293</v>
      </c>
      <c r="W31" t="s">
        <v>294</v>
      </c>
      <c r="X31" t="s">
        <v>295</v>
      </c>
      <c r="Y31" t="s">
        <v>294</v>
      </c>
      <c r="Z31" t="s">
        <v>296</v>
      </c>
      <c r="AA31" t="s">
        <v>324</v>
      </c>
      <c r="AB31" t="s">
        <v>298</v>
      </c>
      <c r="AC31" t="s">
        <v>299</v>
      </c>
    </row>
    <row r="32" spans="1:29">
      <c r="A32" s="117" t="s">
        <v>450</v>
      </c>
      <c r="B32" t="s">
        <v>451</v>
      </c>
      <c r="C32" s="117" t="s">
        <v>452</v>
      </c>
      <c r="D32" t="s">
        <v>448</v>
      </c>
      <c r="E32" t="s">
        <v>453</v>
      </c>
      <c r="F32" t="s">
        <v>57</v>
      </c>
      <c r="G32" t="s">
        <v>319</v>
      </c>
      <c r="H32" t="s">
        <v>302</v>
      </c>
      <c r="I32" t="s">
        <v>286</v>
      </c>
      <c r="J32" t="s">
        <v>454</v>
      </c>
      <c r="K32" t="s">
        <v>360</v>
      </c>
      <c r="L32">
        <f>LEN(Tabela13[[#This Row],[Largura de copa (metros)]])</f>
        <v>6</v>
      </c>
      <c r="M32" t="str">
        <f>LEFT(Tabela13[[#This Row],[Largura de copa (metros)]],LEN(Tabela13[[#This Row],[Largura de copa (metros)]])-1)</f>
        <v>15-20</v>
      </c>
      <c r="N32" s="126" t="s">
        <v>985</v>
      </c>
      <c r="O32" s="126" t="str">
        <f>"="&amp;Tabela13[[#This Row],[Coluna1]]</f>
        <v>=15-20</v>
      </c>
      <c r="P32" s="126">
        <f>15+20</f>
        <v>35</v>
      </c>
      <c r="Q32" s="126">
        <f>Tabela13[[#This Row],[Coluna 23]]/2</f>
        <v>17.5</v>
      </c>
      <c r="R32" t="s">
        <v>354</v>
      </c>
      <c r="S32" t="s">
        <v>455</v>
      </c>
      <c r="T32" t="s">
        <v>362</v>
      </c>
      <c r="U32" t="s">
        <v>292</v>
      </c>
      <c r="V32" t="s">
        <v>293</v>
      </c>
      <c r="W32" t="s">
        <v>298</v>
      </c>
      <c r="X32" t="s">
        <v>295</v>
      </c>
      <c r="Y32" t="s">
        <v>294</v>
      </c>
      <c r="Z32" t="s">
        <v>296</v>
      </c>
      <c r="AA32" t="s">
        <v>311</v>
      </c>
      <c r="AB32" t="s">
        <v>298</v>
      </c>
      <c r="AC32" t="s">
        <v>456</v>
      </c>
    </row>
    <row r="33" spans="1:29" s="121" customFormat="1">
      <c r="A33" s="120" t="s">
        <v>457</v>
      </c>
      <c r="B33" t="s">
        <v>299</v>
      </c>
      <c r="C33" s="120" t="s">
        <v>458</v>
      </c>
      <c r="D33" s="121" t="s">
        <v>459</v>
      </c>
      <c r="E33" s="121" t="s">
        <v>283</v>
      </c>
      <c r="F33" s="121" t="s">
        <v>57</v>
      </c>
      <c r="G33" s="121" t="s">
        <v>284</v>
      </c>
      <c r="H33" s="121" t="s">
        <v>302</v>
      </c>
      <c r="I33" s="121" t="s">
        <v>286</v>
      </c>
      <c r="J33" s="121" t="s">
        <v>287</v>
      </c>
      <c r="K33" s="121" t="s">
        <v>305</v>
      </c>
      <c r="L33" s="121">
        <f>LEN(Tabela13[[#This Row],[Largura de copa (metros)]])</f>
        <v>4</v>
      </c>
      <c r="M33" s="121" t="str">
        <f>LEFT(Tabela13[[#This Row],[Largura de copa (metros)]],LEN(Tabela13[[#This Row],[Largura de copa (metros)]])-1)</f>
        <v>4-6</v>
      </c>
      <c r="N33" s="127" t="s">
        <v>969</v>
      </c>
      <c r="O33" s="127" t="str">
        <f>"="&amp;Tabela13[[#This Row],[Coluna1]]</f>
        <v>=4-6</v>
      </c>
      <c r="P33" s="127">
        <f>4+6</f>
        <v>10</v>
      </c>
      <c r="Q33" s="127">
        <f>Tabela13[[#This Row],[Coluna 23]]/2</f>
        <v>5</v>
      </c>
      <c r="R33" s="121" t="s">
        <v>360</v>
      </c>
      <c r="S33" s="121" t="s">
        <v>306</v>
      </c>
      <c r="T33" t="s">
        <v>291</v>
      </c>
      <c r="U33" t="s">
        <v>292</v>
      </c>
      <c r="V33" s="121" t="s">
        <v>293</v>
      </c>
      <c r="W33" s="121" t="s">
        <v>294</v>
      </c>
      <c r="X33" s="121" t="s">
        <v>390</v>
      </c>
      <c r="Y33" s="121" t="s">
        <v>294</v>
      </c>
      <c r="Z33" s="121" t="s">
        <v>310</v>
      </c>
      <c r="AA33" s="121" t="s">
        <v>311</v>
      </c>
      <c r="AB33" s="121" t="s">
        <v>299</v>
      </c>
      <c r="AC33" s="121" t="s">
        <v>299</v>
      </c>
    </row>
    <row r="34" spans="1:29">
      <c r="A34" s="117" t="s">
        <v>460</v>
      </c>
      <c r="B34" t="s">
        <v>461</v>
      </c>
      <c r="C34" s="117" t="s">
        <v>462</v>
      </c>
      <c r="D34" t="s">
        <v>463</v>
      </c>
      <c r="E34" t="s">
        <v>283</v>
      </c>
      <c r="F34" t="s">
        <v>57</v>
      </c>
      <c r="G34" t="s">
        <v>319</v>
      </c>
      <c r="H34" t="s">
        <v>302</v>
      </c>
      <c r="I34" t="s">
        <v>286</v>
      </c>
      <c r="J34" t="s">
        <v>320</v>
      </c>
      <c r="K34" t="s">
        <v>464</v>
      </c>
      <c r="L34">
        <f>LEN(Tabela13[[#This Row],[Largura de copa (metros)]])</f>
        <v>4</v>
      </c>
      <c r="M34" t="str">
        <f>LEFT(Tabela13[[#This Row],[Largura de copa (metros)]],LEN(Tabela13[[#This Row],[Largura de copa (metros)]])-1)</f>
        <v>5-7</v>
      </c>
      <c r="N34" s="126" t="s">
        <v>986</v>
      </c>
      <c r="O34" s="126" t="str">
        <f>"="&amp;Tabela13[[#This Row],[Coluna1]]</f>
        <v>=5-7</v>
      </c>
      <c r="P34" s="126">
        <f>5+7</f>
        <v>12</v>
      </c>
      <c r="Q34" s="126">
        <f>Tabela13[[#This Row],[Coluna 23]]/2</f>
        <v>6</v>
      </c>
      <c r="R34" t="s">
        <v>347</v>
      </c>
      <c r="S34" t="s">
        <v>305</v>
      </c>
      <c r="T34" t="s">
        <v>291</v>
      </c>
      <c r="U34" t="s">
        <v>292</v>
      </c>
      <c r="V34" t="s">
        <v>293</v>
      </c>
      <c r="W34" t="s">
        <v>294</v>
      </c>
      <c r="X34" t="s">
        <v>309</v>
      </c>
      <c r="Y34" t="s">
        <v>294</v>
      </c>
      <c r="Z34" t="s">
        <v>323</v>
      </c>
      <c r="AA34" t="s">
        <v>311</v>
      </c>
      <c r="AB34" t="s">
        <v>294</v>
      </c>
      <c r="AC34" t="s">
        <v>299</v>
      </c>
    </row>
    <row r="35" spans="1:29">
      <c r="A35" s="117" t="s">
        <v>465</v>
      </c>
      <c r="B35" t="s">
        <v>466</v>
      </c>
      <c r="C35" s="117" t="s">
        <v>467</v>
      </c>
      <c r="D35" t="s">
        <v>282</v>
      </c>
      <c r="E35" t="s">
        <v>283</v>
      </c>
      <c r="F35" t="s">
        <v>57</v>
      </c>
      <c r="G35" t="s">
        <v>284</v>
      </c>
      <c r="H35" t="s">
        <v>468</v>
      </c>
      <c r="I35" t="s">
        <v>286</v>
      </c>
      <c r="J35" t="s">
        <v>469</v>
      </c>
      <c r="K35" t="s">
        <v>470</v>
      </c>
      <c r="L35">
        <f>LEN(Tabela13[[#This Row],[Largura de copa (metros)]])</f>
        <v>5</v>
      </c>
      <c r="M35" t="str">
        <f>LEFT(Tabela13[[#This Row],[Largura de copa (metros)]],LEN(Tabela13[[#This Row],[Largura de copa (metros)]])-1)</f>
        <v>8-20</v>
      </c>
      <c r="N35" s="126" t="s">
        <v>987</v>
      </c>
      <c r="O35" s="126" t="str">
        <f>"="&amp;Tabela13[[#This Row],[Coluna1]]</f>
        <v>=8-20</v>
      </c>
      <c r="P35" s="126">
        <f>8+20</f>
        <v>28</v>
      </c>
      <c r="Q35" s="126">
        <f>Tabela13[[#This Row],[Coluna 23]]/2</f>
        <v>14</v>
      </c>
      <c r="R35" t="s">
        <v>471</v>
      </c>
      <c r="S35" t="s">
        <v>472</v>
      </c>
      <c r="T35" t="s">
        <v>362</v>
      </c>
      <c r="U35" t="s">
        <v>292</v>
      </c>
      <c r="V35" t="s">
        <v>293</v>
      </c>
      <c r="W35" t="s">
        <v>294</v>
      </c>
      <c r="X35" t="s">
        <v>295</v>
      </c>
      <c r="Y35" t="s">
        <v>294</v>
      </c>
      <c r="Z35" t="s">
        <v>323</v>
      </c>
      <c r="AA35" t="s">
        <v>297</v>
      </c>
      <c r="AB35" t="s">
        <v>298</v>
      </c>
      <c r="AC35" t="s">
        <v>385</v>
      </c>
    </row>
    <row r="36" spans="1:29">
      <c r="A36" s="117" t="s">
        <v>473</v>
      </c>
      <c r="B36" t="s">
        <v>466</v>
      </c>
      <c r="C36" s="117" t="s">
        <v>467</v>
      </c>
      <c r="D36" t="s">
        <v>282</v>
      </c>
      <c r="E36" t="s">
        <v>283</v>
      </c>
      <c r="F36" t="s">
        <v>57</v>
      </c>
      <c r="G36" t="s">
        <v>284</v>
      </c>
      <c r="H36" t="s">
        <v>468</v>
      </c>
      <c r="I36" t="s">
        <v>286</v>
      </c>
      <c r="J36" t="s">
        <v>383</v>
      </c>
      <c r="K36" t="s">
        <v>470</v>
      </c>
      <c r="L36">
        <f>LEN(Tabela13[[#This Row],[Largura de copa (metros)]])</f>
        <v>5</v>
      </c>
      <c r="M36" t="str">
        <f>LEFT(Tabela13[[#This Row],[Largura de copa (metros)]],LEN(Tabela13[[#This Row],[Largura de copa (metros)]])-1)</f>
        <v>8-20</v>
      </c>
      <c r="N36" s="126" t="s">
        <v>987</v>
      </c>
      <c r="O36" s="126" t="str">
        <f>"="&amp;Tabela13[[#This Row],[Coluna1]]</f>
        <v>=8-20</v>
      </c>
      <c r="P36" s="126">
        <f>8+20</f>
        <v>28</v>
      </c>
      <c r="Q36" s="126">
        <f>Tabela13[[#This Row],[Coluna 23]]/2</f>
        <v>14</v>
      </c>
      <c r="R36" t="s">
        <v>471</v>
      </c>
      <c r="S36" t="s">
        <v>472</v>
      </c>
      <c r="T36" t="s">
        <v>362</v>
      </c>
      <c r="U36" t="s">
        <v>292</v>
      </c>
      <c r="V36" t="s">
        <v>293</v>
      </c>
      <c r="W36" t="s">
        <v>294</v>
      </c>
      <c r="X36" t="s">
        <v>295</v>
      </c>
      <c r="Y36" t="s">
        <v>294</v>
      </c>
      <c r="Z36" t="s">
        <v>323</v>
      </c>
      <c r="AA36" t="s">
        <v>297</v>
      </c>
      <c r="AB36" t="s">
        <v>298</v>
      </c>
      <c r="AC36" t="s">
        <v>385</v>
      </c>
    </row>
    <row r="37" spans="1:29">
      <c r="A37" s="117" t="s">
        <v>474</v>
      </c>
      <c r="B37" t="s">
        <v>475</v>
      </c>
      <c r="C37" s="117" t="s">
        <v>467</v>
      </c>
      <c r="D37" t="s">
        <v>282</v>
      </c>
      <c r="E37" t="s">
        <v>283</v>
      </c>
      <c r="F37" t="s">
        <v>57</v>
      </c>
      <c r="G37" t="s">
        <v>284</v>
      </c>
      <c r="H37" t="s">
        <v>285</v>
      </c>
      <c r="I37" t="s">
        <v>286</v>
      </c>
      <c r="J37" t="s">
        <v>469</v>
      </c>
      <c r="K37" t="s">
        <v>470</v>
      </c>
      <c r="L37">
        <f>LEN(Tabela13[[#This Row],[Largura de copa (metros)]])</f>
        <v>5</v>
      </c>
      <c r="M37" t="str">
        <f>LEFT(Tabela13[[#This Row],[Largura de copa (metros)]],LEN(Tabela13[[#This Row],[Largura de copa (metros)]])-1)</f>
        <v>8-20</v>
      </c>
      <c r="N37" s="126" t="s">
        <v>987</v>
      </c>
      <c r="O37" s="126" t="str">
        <f>"="&amp;Tabela13[[#This Row],[Coluna1]]</f>
        <v>=8-20</v>
      </c>
      <c r="P37" s="126">
        <f>8+20</f>
        <v>28</v>
      </c>
      <c r="Q37" s="126">
        <f>Tabela13[[#This Row],[Coluna 23]]/2</f>
        <v>14</v>
      </c>
      <c r="R37" t="s">
        <v>371</v>
      </c>
      <c r="S37" t="s">
        <v>472</v>
      </c>
      <c r="T37" t="s">
        <v>362</v>
      </c>
      <c r="U37" t="s">
        <v>292</v>
      </c>
      <c r="V37" t="s">
        <v>293</v>
      </c>
      <c r="W37" t="s">
        <v>294</v>
      </c>
      <c r="X37" t="s">
        <v>309</v>
      </c>
      <c r="Y37" t="s">
        <v>294</v>
      </c>
      <c r="Z37" t="s">
        <v>310</v>
      </c>
      <c r="AA37" t="s">
        <v>297</v>
      </c>
      <c r="AB37" t="s">
        <v>298</v>
      </c>
      <c r="AC37" t="s">
        <v>385</v>
      </c>
    </row>
    <row r="38" spans="1:29">
      <c r="A38" s="117" t="s">
        <v>476</v>
      </c>
      <c r="B38" t="s">
        <v>477</v>
      </c>
      <c r="C38" s="117" t="s">
        <v>467</v>
      </c>
      <c r="D38" t="s">
        <v>282</v>
      </c>
      <c r="E38" t="s">
        <v>283</v>
      </c>
      <c r="F38" t="s">
        <v>57</v>
      </c>
      <c r="G38" t="s">
        <v>284</v>
      </c>
      <c r="H38" t="s">
        <v>468</v>
      </c>
      <c r="I38" t="s">
        <v>286</v>
      </c>
      <c r="J38" t="s">
        <v>469</v>
      </c>
      <c r="K38" t="s">
        <v>478</v>
      </c>
      <c r="L38">
        <f>LEN(Tabela13[[#This Row],[Largura de copa (metros)]])</f>
        <v>6</v>
      </c>
      <c r="M38" t="str">
        <f>LEFT(Tabela13[[#This Row],[Largura de copa (metros)]],LEN(Tabela13[[#This Row],[Largura de copa (metros)]])-1)</f>
        <v>12-24</v>
      </c>
      <c r="N38" s="126" t="s">
        <v>988</v>
      </c>
      <c r="O38" s="126" t="str">
        <f>"="&amp;Tabela13[[#This Row],[Coluna1]]</f>
        <v>=12-24</v>
      </c>
      <c r="P38" s="126">
        <f>12+24</f>
        <v>36</v>
      </c>
      <c r="Q38" s="126">
        <f>Tabela13[[#This Row],[Coluna 23]]/2</f>
        <v>18</v>
      </c>
      <c r="R38" t="s">
        <v>479</v>
      </c>
      <c r="S38" t="s">
        <v>480</v>
      </c>
      <c r="T38" t="s">
        <v>362</v>
      </c>
      <c r="U38" t="s">
        <v>292</v>
      </c>
      <c r="V38" t="s">
        <v>293</v>
      </c>
      <c r="W38" t="s">
        <v>294</v>
      </c>
      <c r="X38" t="s">
        <v>295</v>
      </c>
      <c r="Y38" t="s">
        <v>294</v>
      </c>
      <c r="Z38" t="s">
        <v>310</v>
      </c>
      <c r="AA38" t="s">
        <v>297</v>
      </c>
      <c r="AB38" t="s">
        <v>298</v>
      </c>
      <c r="AC38" t="s">
        <v>385</v>
      </c>
    </row>
    <row r="39" spans="1:29" s="122" customFormat="1">
      <c r="A39" s="117" t="s">
        <v>481</v>
      </c>
      <c r="B39" t="s">
        <v>482</v>
      </c>
      <c r="C39" s="117" t="s">
        <v>483</v>
      </c>
      <c r="D39" t="s">
        <v>484</v>
      </c>
      <c r="E39" t="s">
        <v>353</v>
      </c>
      <c r="F39" t="s">
        <v>57</v>
      </c>
      <c r="G39" t="s">
        <v>319</v>
      </c>
      <c r="H39" t="s">
        <v>285</v>
      </c>
      <c r="I39" t="s">
        <v>285</v>
      </c>
      <c r="J39" t="s">
        <v>320</v>
      </c>
      <c r="K39" t="s">
        <v>327</v>
      </c>
      <c r="L39">
        <f>LEN(Tabela13[[#This Row],[Largura de copa (metros)]])</f>
        <v>4</v>
      </c>
      <c r="M39" t="str">
        <f>LEFT(Tabela13[[#This Row],[Largura de copa (metros)]],LEN(Tabela13[[#This Row],[Largura de copa (metros)]])-1)</f>
        <v>5-8</v>
      </c>
      <c r="N39" s="126" t="s">
        <v>970</v>
      </c>
      <c r="O39" s="126" t="str">
        <f>"="&amp;Tabela13[[#This Row],[Coluna1]]</f>
        <v>=5-8</v>
      </c>
      <c r="P39" s="126">
        <f>5+8</f>
        <v>13</v>
      </c>
      <c r="Q39" s="126">
        <f>Tabela13[[#This Row],[Coluna 23]]/2</f>
        <v>6.5</v>
      </c>
      <c r="R39" t="s">
        <v>449</v>
      </c>
      <c r="S39" t="s">
        <v>305</v>
      </c>
      <c r="T39" t="s">
        <v>291</v>
      </c>
      <c r="U39" t="s">
        <v>292</v>
      </c>
      <c r="V39" t="s">
        <v>363</v>
      </c>
      <c r="W39" t="s">
        <v>294</v>
      </c>
      <c r="X39" t="s">
        <v>309</v>
      </c>
      <c r="Y39" t="s">
        <v>294</v>
      </c>
      <c r="Z39" t="s">
        <v>310</v>
      </c>
      <c r="AA39" t="s">
        <v>297</v>
      </c>
      <c r="AB39" t="s">
        <v>294</v>
      </c>
      <c r="AC39" t="s">
        <v>299</v>
      </c>
    </row>
    <row r="40" spans="1:29" s="122" customFormat="1">
      <c r="A40" s="117" t="s">
        <v>485</v>
      </c>
      <c r="B40" t="s">
        <v>486</v>
      </c>
      <c r="C40" s="117" t="s">
        <v>487</v>
      </c>
      <c r="D40" t="s">
        <v>301</v>
      </c>
      <c r="E40" t="s">
        <v>283</v>
      </c>
      <c r="F40" t="s">
        <v>57</v>
      </c>
      <c r="G40" t="s">
        <v>319</v>
      </c>
      <c r="H40" t="s">
        <v>285</v>
      </c>
      <c r="I40" t="s">
        <v>303</v>
      </c>
      <c r="J40" t="s">
        <v>454</v>
      </c>
      <c r="K40" t="s">
        <v>488</v>
      </c>
      <c r="L40">
        <f>LEN(Tabela13[[#This Row],[Largura de copa (metros)]])</f>
        <v>4</v>
      </c>
      <c r="M40" t="str">
        <f>LEFT(Tabela13[[#This Row],[Largura de copa (metros)]],LEN(Tabela13[[#This Row],[Largura de copa (metros)]])-1)</f>
        <v>3-4</v>
      </c>
      <c r="N40" s="126" t="s">
        <v>989</v>
      </c>
      <c r="O40" s="126" t="str">
        <f>"="&amp;Tabela13[[#This Row],[Coluna1]]</f>
        <v>=3-4</v>
      </c>
      <c r="P40" s="126">
        <f>3+4</f>
        <v>7</v>
      </c>
      <c r="Q40" s="126">
        <f>Tabela13[[#This Row],[Coluna 23]]/2</f>
        <v>3.5</v>
      </c>
      <c r="R40" t="s">
        <v>327</v>
      </c>
      <c r="S40" t="s">
        <v>336</v>
      </c>
      <c r="T40" t="s">
        <v>342</v>
      </c>
      <c r="U40" t="s">
        <v>378</v>
      </c>
      <c r="V40" t="s">
        <v>308</v>
      </c>
      <c r="W40" t="s">
        <v>294</v>
      </c>
      <c r="X40" t="s">
        <v>295</v>
      </c>
      <c r="Y40" t="s">
        <v>298</v>
      </c>
      <c r="Z40" t="s">
        <v>323</v>
      </c>
      <c r="AA40" t="s">
        <v>311</v>
      </c>
      <c r="AB40" t="s">
        <v>298</v>
      </c>
      <c r="AC40" t="s">
        <v>299</v>
      </c>
    </row>
    <row r="41" spans="1:29">
      <c r="A41" s="117" t="s">
        <v>489</v>
      </c>
      <c r="B41" t="s">
        <v>490</v>
      </c>
      <c r="C41" s="117" t="s">
        <v>491</v>
      </c>
      <c r="D41" t="s">
        <v>492</v>
      </c>
      <c r="E41" t="s">
        <v>283</v>
      </c>
      <c r="F41" t="s">
        <v>57</v>
      </c>
      <c r="G41" t="s">
        <v>284</v>
      </c>
      <c r="H41" t="s">
        <v>302</v>
      </c>
      <c r="I41" t="s">
        <v>286</v>
      </c>
      <c r="J41" t="s">
        <v>493</v>
      </c>
      <c r="K41" t="s">
        <v>401</v>
      </c>
      <c r="L41">
        <f>LEN(Tabela13[[#This Row],[Largura de copa (metros)]])</f>
        <v>4</v>
      </c>
      <c r="M41" t="str">
        <f>LEFT(Tabela13[[#This Row],[Largura de copa (metros)]],LEN(Tabela13[[#This Row],[Largura de copa (metros)]])-1)</f>
        <v>2-8</v>
      </c>
      <c r="N41" s="126" t="s">
        <v>979</v>
      </c>
      <c r="O41" s="126" t="str">
        <f>"="&amp;Tabela13[[#This Row],[Coluna1]]</f>
        <v>=2-8</v>
      </c>
      <c r="P41" s="126">
        <f>2+8</f>
        <v>10</v>
      </c>
      <c r="Q41" s="126">
        <f>Tabela13[[#This Row],[Coluna 23]]/2</f>
        <v>5</v>
      </c>
      <c r="R41" t="s">
        <v>347</v>
      </c>
      <c r="S41" t="s">
        <v>403</v>
      </c>
      <c r="T41" t="s">
        <v>291</v>
      </c>
      <c r="U41" t="s">
        <v>292</v>
      </c>
      <c r="V41" t="s">
        <v>293</v>
      </c>
      <c r="W41" t="s">
        <v>294</v>
      </c>
      <c r="X41" t="s">
        <v>295</v>
      </c>
      <c r="Y41" t="s">
        <v>294</v>
      </c>
      <c r="Z41" t="s">
        <v>296</v>
      </c>
      <c r="AA41" t="s">
        <v>324</v>
      </c>
      <c r="AB41" t="s">
        <v>298</v>
      </c>
      <c r="AC41" t="s">
        <v>385</v>
      </c>
    </row>
    <row r="42" spans="1:29">
      <c r="A42" s="117" t="s">
        <v>494</v>
      </c>
      <c r="B42" t="s">
        <v>490</v>
      </c>
      <c r="C42" s="117" t="s">
        <v>491</v>
      </c>
      <c r="D42" t="s">
        <v>492</v>
      </c>
      <c r="E42" t="s">
        <v>283</v>
      </c>
      <c r="F42" t="s">
        <v>57</v>
      </c>
      <c r="G42" t="s">
        <v>284</v>
      </c>
      <c r="H42" t="s">
        <v>285</v>
      </c>
      <c r="I42" t="s">
        <v>303</v>
      </c>
      <c r="J42" t="s">
        <v>493</v>
      </c>
      <c r="K42" t="s">
        <v>336</v>
      </c>
      <c r="L42">
        <f>LEN(Tabela13[[#This Row],[Largura de copa (metros)]])</f>
        <v>4</v>
      </c>
      <c r="M42" t="str">
        <f>LEFT(Tabela13[[#This Row],[Largura de copa (metros)]],LEN(Tabela13[[#This Row],[Largura de copa (metros)]])-1)</f>
        <v>2-4</v>
      </c>
      <c r="N42" s="126" t="s">
        <v>972</v>
      </c>
      <c r="O42" s="126" t="str">
        <f>"="&amp;Tabela13[[#This Row],[Coluna1]]</f>
        <v>=2-4</v>
      </c>
      <c r="P42" s="126">
        <f t="shared" ref="P42:P48" si="0">2+4</f>
        <v>6</v>
      </c>
      <c r="Q42" s="126">
        <f>Tabela13[[#This Row],[Coluna 23]]/2</f>
        <v>3</v>
      </c>
      <c r="R42" t="s">
        <v>495</v>
      </c>
      <c r="S42" t="s">
        <v>336</v>
      </c>
      <c r="T42" t="s">
        <v>342</v>
      </c>
      <c r="U42" t="s">
        <v>378</v>
      </c>
      <c r="V42" t="s">
        <v>293</v>
      </c>
      <c r="W42" t="s">
        <v>294</v>
      </c>
      <c r="X42" t="s">
        <v>295</v>
      </c>
      <c r="Y42" t="s">
        <v>294</v>
      </c>
      <c r="Z42" t="s">
        <v>496</v>
      </c>
      <c r="AA42" t="s">
        <v>324</v>
      </c>
      <c r="AB42" t="s">
        <v>298</v>
      </c>
      <c r="AC42" t="s">
        <v>385</v>
      </c>
    </row>
    <row r="43" spans="1:29">
      <c r="A43" s="117" t="s">
        <v>497</v>
      </c>
      <c r="B43" t="s">
        <v>490</v>
      </c>
      <c r="C43" s="117" t="s">
        <v>491</v>
      </c>
      <c r="D43" t="s">
        <v>492</v>
      </c>
      <c r="E43" t="s">
        <v>283</v>
      </c>
      <c r="F43" t="s">
        <v>57</v>
      </c>
      <c r="G43" t="s">
        <v>284</v>
      </c>
      <c r="H43" t="s">
        <v>285</v>
      </c>
      <c r="I43" t="s">
        <v>303</v>
      </c>
      <c r="J43" t="s">
        <v>493</v>
      </c>
      <c r="K43" t="s">
        <v>336</v>
      </c>
      <c r="L43">
        <f>LEN(Tabela13[[#This Row],[Largura de copa (metros)]])</f>
        <v>4</v>
      </c>
      <c r="M43" t="str">
        <f>LEFT(Tabela13[[#This Row],[Largura de copa (metros)]],LEN(Tabela13[[#This Row],[Largura de copa (metros)]])-1)</f>
        <v>2-4</v>
      </c>
      <c r="N43" s="126" t="s">
        <v>972</v>
      </c>
      <c r="O43" s="126" t="str">
        <f>"="&amp;Tabela13[[#This Row],[Coluna1]]</f>
        <v>=2-4</v>
      </c>
      <c r="P43" s="126">
        <f t="shared" si="0"/>
        <v>6</v>
      </c>
      <c r="Q43" s="126">
        <f>Tabela13[[#This Row],[Coluna 23]]/2</f>
        <v>3</v>
      </c>
      <c r="R43" t="s">
        <v>495</v>
      </c>
      <c r="S43" t="s">
        <v>336</v>
      </c>
      <c r="T43" t="s">
        <v>342</v>
      </c>
      <c r="U43" t="s">
        <v>378</v>
      </c>
      <c r="V43" t="s">
        <v>293</v>
      </c>
      <c r="W43" t="s">
        <v>294</v>
      </c>
      <c r="X43" t="s">
        <v>295</v>
      </c>
      <c r="Y43" t="s">
        <v>294</v>
      </c>
      <c r="Z43" t="s">
        <v>496</v>
      </c>
      <c r="AA43" t="s">
        <v>324</v>
      </c>
      <c r="AB43" t="s">
        <v>298</v>
      </c>
      <c r="AC43" t="s">
        <v>385</v>
      </c>
    </row>
    <row r="44" spans="1:29">
      <c r="A44" s="117" t="s">
        <v>498</v>
      </c>
      <c r="B44" t="s">
        <v>490</v>
      </c>
      <c r="C44" s="117" t="s">
        <v>491</v>
      </c>
      <c r="D44" t="s">
        <v>492</v>
      </c>
      <c r="E44" t="s">
        <v>283</v>
      </c>
      <c r="F44" t="s">
        <v>57</v>
      </c>
      <c r="G44" t="s">
        <v>284</v>
      </c>
      <c r="H44" t="s">
        <v>285</v>
      </c>
      <c r="I44" t="s">
        <v>303</v>
      </c>
      <c r="J44" t="s">
        <v>493</v>
      </c>
      <c r="K44" t="s">
        <v>336</v>
      </c>
      <c r="L44">
        <f>LEN(Tabela13[[#This Row],[Largura de copa (metros)]])</f>
        <v>4</v>
      </c>
      <c r="M44" t="str">
        <f>LEFT(Tabela13[[#This Row],[Largura de copa (metros)]],LEN(Tabela13[[#This Row],[Largura de copa (metros)]])-1)</f>
        <v>2-4</v>
      </c>
      <c r="N44" s="126" t="s">
        <v>972</v>
      </c>
      <c r="O44" s="126" t="str">
        <f>"="&amp;Tabela13[[#This Row],[Coluna1]]</f>
        <v>=2-4</v>
      </c>
      <c r="P44" s="126">
        <f t="shared" si="0"/>
        <v>6</v>
      </c>
      <c r="Q44" s="126">
        <f>Tabela13[[#This Row],[Coluna 23]]/2</f>
        <v>3</v>
      </c>
      <c r="R44" t="s">
        <v>495</v>
      </c>
      <c r="S44" t="s">
        <v>336</v>
      </c>
      <c r="T44" t="s">
        <v>342</v>
      </c>
      <c r="U44" t="s">
        <v>378</v>
      </c>
      <c r="V44" t="s">
        <v>293</v>
      </c>
      <c r="W44" t="s">
        <v>294</v>
      </c>
      <c r="X44" t="s">
        <v>295</v>
      </c>
      <c r="Y44" t="s">
        <v>294</v>
      </c>
      <c r="Z44" t="s">
        <v>496</v>
      </c>
      <c r="AA44" t="s">
        <v>324</v>
      </c>
      <c r="AB44" t="s">
        <v>298</v>
      </c>
      <c r="AC44" t="s">
        <v>385</v>
      </c>
    </row>
    <row r="45" spans="1:29">
      <c r="A45" s="117" t="s">
        <v>499</v>
      </c>
      <c r="B45" t="s">
        <v>490</v>
      </c>
      <c r="C45" s="117" t="s">
        <v>491</v>
      </c>
      <c r="D45" t="s">
        <v>492</v>
      </c>
      <c r="E45" t="s">
        <v>283</v>
      </c>
      <c r="F45" t="s">
        <v>57</v>
      </c>
      <c r="G45" t="s">
        <v>284</v>
      </c>
      <c r="H45" t="s">
        <v>285</v>
      </c>
      <c r="I45" t="s">
        <v>303</v>
      </c>
      <c r="J45" t="s">
        <v>493</v>
      </c>
      <c r="K45" t="s">
        <v>336</v>
      </c>
      <c r="L45">
        <f>LEN(Tabela13[[#This Row],[Largura de copa (metros)]])</f>
        <v>4</v>
      </c>
      <c r="M45" t="str">
        <f>LEFT(Tabela13[[#This Row],[Largura de copa (metros)]],LEN(Tabela13[[#This Row],[Largura de copa (metros)]])-1)</f>
        <v>2-4</v>
      </c>
      <c r="N45" s="126" t="s">
        <v>972</v>
      </c>
      <c r="O45" s="126" t="str">
        <f>"="&amp;Tabela13[[#This Row],[Coluna1]]</f>
        <v>=2-4</v>
      </c>
      <c r="P45" s="126">
        <f t="shared" si="0"/>
        <v>6</v>
      </c>
      <c r="Q45" s="126">
        <f>Tabela13[[#This Row],[Coluna 23]]/2</f>
        <v>3</v>
      </c>
      <c r="R45" t="s">
        <v>495</v>
      </c>
      <c r="S45" t="s">
        <v>336</v>
      </c>
      <c r="T45" t="s">
        <v>342</v>
      </c>
      <c r="U45" t="s">
        <v>378</v>
      </c>
      <c r="V45" t="s">
        <v>293</v>
      </c>
      <c r="W45" t="s">
        <v>294</v>
      </c>
      <c r="X45" t="s">
        <v>295</v>
      </c>
      <c r="Y45" t="s">
        <v>294</v>
      </c>
      <c r="Z45" t="s">
        <v>496</v>
      </c>
      <c r="AA45" t="s">
        <v>324</v>
      </c>
      <c r="AB45" t="s">
        <v>298</v>
      </c>
      <c r="AC45" t="s">
        <v>385</v>
      </c>
    </row>
    <row r="46" spans="1:29">
      <c r="A46" s="117" t="s">
        <v>500</v>
      </c>
      <c r="B46" t="s">
        <v>490</v>
      </c>
      <c r="C46" s="117" t="s">
        <v>491</v>
      </c>
      <c r="D46" t="s">
        <v>492</v>
      </c>
      <c r="E46" t="s">
        <v>283</v>
      </c>
      <c r="F46" t="s">
        <v>57</v>
      </c>
      <c r="G46" t="s">
        <v>284</v>
      </c>
      <c r="H46" t="s">
        <v>285</v>
      </c>
      <c r="I46" t="s">
        <v>303</v>
      </c>
      <c r="J46" t="s">
        <v>493</v>
      </c>
      <c r="K46" t="s">
        <v>336</v>
      </c>
      <c r="L46">
        <f>LEN(Tabela13[[#This Row],[Largura de copa (metros)]])</f>
        <v>4</v>
      </c>
      <c r="M46" t="str">
        <f>LEFT(Tabela13[[#This Row],[Largura de copa (metros)]],LEN(Tabela13[[#This Row],[Largura de copa (metros)]])-1)</f>
        <v>2-4</v>
      </c>
      <c r="N46" s="126" t="s">
        <v>972</v>
      </c>
      <c r="O46" s="126" t="str">
        <f>"="&amp;Tabela13[[#This Row],[Coluna1]]</f>
        <v>=2-4</v>
      </c>
      <c r="P46" s="126">
        <f t="shared" si="0"/>
        <v>6</v>
      </c>
      <c r="Q46" s="126">
        <f>Tabela13[[#This Row],[Coluna 23]]/2</f>
        <v>3</v>
      </c>
      <c r="R46" t="s">
        <v>495</v>
      </c>
      <c r="S46" t="s">
        <v>336</v>
      </c>
      <c r="T46" t="s">
        <v>342</v>
      </c>
      <c r="U46" t="s">
        <v>378</v>
      </c>
      <c r="V46" t="s">
        <v>293</v>
      </c>
      <c r="W46" t="s">
        <v>294</v>
      </c>
      <c r="X46" t="s">
        <v>295</v>
      </c>
      <c r="Y46" t="s">
        <v>294</v>
      </c>
      <c r="Z46" t="s">
        <v>496</v>
      </c>
      <c r="AA46" t="s">
        <v>324</v>
      </c>
      <c r="AB46" t="s">
        <v>298</v>
      </c>
      <c r="AC46" t="s">
        <v>385</v>
      </c>
    </row>
    <row r="47" spans="1:29">
      <c r="A47" s="117" t="s">
        <v>501</v>
      </c>
      <c r="B47" t="s">
        <v>490</v>
      </c>
      <c r="C47" s="117" t="s">
        <v>491</v>
      </c>
      <c r="D47" t="s">
        <v>492</v>
      </c>
      <c r="E47" t="s">
        <v>283</v>
      </c>
      <c r="F47" t="s">
        <v>57</v>
      </c>
      <c r="G47" t="s">
        <v>284</v>
      </c>
      <c r="H47" t="s">
        <v>285</v>
      </c>
      <c r="I47" t="s">
        <v>303</v>
      </c>
      <c r="J47" t="s">
        <v>493</v>
      </c>
      <c r="K47" t="s">
        <v>336</v>
      </c>
      <c r="L47">
        <f>LEN(Tabela13[[#This Row],[Largura de copa (metros)]])</f>
        <v>4</v>
      </c>
      <c r="M47" t="str">
        <f>LEFT(Tabela13[[#This Row],[Largura de copa (metros)]],LEN(Tabela13[[#This Row],[Largura de copa (metros)]])-1)</f>
        <v>2-4</v>
      </c>
      <c r="N47" s="126" t="s">
        <v>972</v>
      </c>
      <c r="O47" s="126" t="str">
        <f>"="&amp;Tabela13[[#This Row],[Coluna1]]</f>
        <v>=2-4</v>
      </c>
      <c r="P47" s="126">
        <f t="shared" si="0"/>
        <v>6</v>
      </c>
      <c r="Q47" s="126">
        <f>Tabela13[[#This Row],[Coluna 23]]/2</f>
        <v>3</v>
      </c>
      <c r="R47" t="s">
        <v>495</v>
      </c>
      <c r="S47" t="s">
        <v>336</v>
      </c>
      <c r="T47" t="s">
        <v>342</v>
      </c>
      <c r="U47" t="s">
        <v>378</v>
      </c>
      <c r="V47" t="s">
        <v>293</v>
      </c>
      <c r="W47" t="s">
        <v>294</v>
      </c>
      <c r="X47" t="s">
        <v>295</v>
      </c>
      <c r="Y47" t="s">
        <v>294</v>
      </c>
      <c r="Z47" t="s">
        <v>496</v>
      </c>
      <c r="AA47" t="s">
        <v>324</v>
      </c>
      <c r="AB47" t="s">
        <v>298</v>
      </c>
      <c r="AC47" t="s">
        <v>385</v>
      </c>
    </row>
    <row r="48" spans="1:29">
      <c r="A48" s="117" t="s">
        <v>502</v>
      </c>
      <c r="B48" t="s">
        <v>490</v>
      </c>
      <c r="C48" s="117" t="s">
        <v>491</v>
      </c>
      <c r="D48" t="s">
        <v>492</v>
      </c>
      <c r="E48" t="s">
        <v>283</v>
      </c>
      <c r="F48" t="s">
        <v>57</v>
      </c>
      <c r="G48" t="s">
        <v>284</v>
      </c>
      <c r="H48" t="s">
        <v>285</v>
      </c>
      <c r="I48" t="s">
        <v>303</v>
      </c>
      <c r="J48" t="s">
        <v>493</v>
      </c>
      <c r="K48" t="s">
        <v>336</v>
      </c>
      <c r="L48">
        <f>LEN(Tabela13[[#This Row],[Largura de copa (metros)]])</f>
        <v>4</v>
      </c>
      <c r="M48" t="str">
        <f>LEFT(Tabela13[[#This Row],[Largura de copa (metros)]],LEN(Tabela13[[#This Row],[Largura de copa (metros)]])-1)</f>
        <v>2-4</v>
      </c>
      <c r="N48" s="126" t="s">
        <v>972</v>
      </c>
      <c r="O48" s="126" t="str">
        <f>"="&amp;Tabela13[[#This Row],[Coluna1]]</f>
        <v>=2-4</v>
      </c>
      <c r="P48" s="126">
        <f t="shared" si="0"/>
        <v>6</v>
      </c>
      <c r="Q48" s="126">
        <f>Tabela13[[#This Row],[Coluna 23]]/2</f>
        <v>3</v>
      </c>
      <c r="R48" t="s">
        <v>495</v>
      </c>
      <c r="S48" t="s">
        <v>336</v>
      </c>
      <c r="T48" t="s">
        <v>342</v>
      </c>
      <c r="U48" t="s">
        <v>378</v>
      </c>
      <c r="V48" t="s">
        <v>293</v>
      </c>
      <c r="W48" t="s">
        <v>294</v>
      </c>
      <c r="X48" t="s">
        <v>295</v>
      </c>
      <c r="Y48" t="s">
        <v>294</v>
      </c>
      <c r="Z48" t="s">
        <v>496</v>
      </c>
      <c r="AA48" t="s">
        <v>324</v>
      </c>
      <c r="AB48" t="s">
        <v>298</v>
      </c>
      <c r="AC48" t="s">
        <v>385</v>
      </c>
    </row>
    <row r="49" spans="1:29">
      <c r="A49" s="117" t="s">
        <v>503</v>
      </c>
      <c r="B49" t="s">
        <v>504</v>
      </c>
      <c r="C49" s="117" t="s">
        <v>505</v>
      </c>
      <c r="D49" t="s">
        <v>492</v>
      </c>
      <c r="E49" t="s">
        <v>283</v>
      </c>
      <c r="F49" t="s">
        <v>57</v>
      </c>
      <c r="G49" t="s">
        <v>284</v>
      </c>
      <c r="H49" t="s">
        <v>285</v>
      </c>
      <c r="I49" t="s">
        <v>286</v>
      </c>
      <c r="J49" t="s">
        <v>493</v>
      </c>
      <c r="K49" t="s">
        <v>401</v>
      </c>
      <c r="L49">
        <f>LEN(Tabela13[[#This Row],[Largura de copa (metros)]])</f>
        <v>4</v>
      </c>
      <c r="M49" t="str">
        <f>LEFT(Tabela13[[#This Row],[Largura de copa (metros)]],LEN(Tabela13[[#This Row],[Largura de copa (metros)]])-1)</f>
        <v>2-8</v>
      </c>
      <c r="N49" s="126" t="s">
        <v>979</v>
      </c>
      <c r="O49" s="126" t="str">
        <f>"="&amp;Tabela13[[#This Row],[Coluna1]]</f>
        <v>=2-8</v>
      </c>
      <c r="P49" s="126">
        <f>2+8</f>
        <v>10</v>
      </c>
      <c r="Q49" s="126">
        <f>Tabela13[[#This Row],[Coluna 23]]/2</f>
        <v>5</v>
      </c>
      <c r="R49" t="s">
        <v>347</v>
      </c>
      <c r="S49" t="s">
        <v>403</v>
      </c>
      <c r="T49" t="s">
        <v>291</v>
      </c>
      <c r="U49" t="s">
        <v>292</v>
      </c>
      <c r="V49" t="s">
        <v>293</v>
      </c>
      <c r="W49" t="s">
        <v>294</v>
      </c>
      <c r="X49" t="s">
        <v>295</v>
      </c>
      <c r="Y49" t="s">
        <v>294</v>
      </c>
      <c r="Z49" t="s">
        <v>496</v>
      </c>
      <c r="AA49" t="s">
        <v>324</v>
      </c>
      <c r="AB49" t="s">
        <v>298</v>
      </c>
      <c r="AC49" t="s">
        <v>385</v>
      </c>
    </row>
    <row r="50" spans="1:29">
      <c r="A50" s="117" t="s">
        <v>506</v>
      </c>
      <c r="B50" t="s">
        <v>507</v>
      </c>
      <c r="C50" s="117" t="s">
        <v>491</v>
      </c>
      <c r="D50" t="s">
        <v>492</v>
      </c>
      <c r="E50" t="s">
        <v>283</v>
      </c>
      <c r="F50" t="s">
        <v>57</v>
      </c>
      <c r="G50" t="s">
        <v>284</v>
      </c>
      <c r="H50" t="s">
        <v>285</v>
      </c>
      <c r="I50" t="s">
        <v>286</v>
      </c>
      <c r="J50" t="s">
        <v>493</v>
      </c>
      <c r="K50" t="s">
        <v>395</v>
      </c>
      <c r="L50">
        <f>LEN(Tabela13[[#This Row],[Largura de copa (metros)]])</f>
        <v>4</v>
      </c>
      <c r="M50" t="str">
        <f>LEFT(Tabela13[[#This Row],[Largura de copa (metros)]],LEN(Tabela13[[#This Row],[Largura de copa (metros)]])-1)</f>
        <v>3-8</v>
      </c>
      <c r="N50" s="126" t="s">
        <v>990</v>
      </c>
      <c r="O50" s="126" t="str">
        <f>"="&amp;Tabela13[[#This Row],[Coluna1]]</f>
        <v>=3-8</v>
      </c>
      <c r="P50" s="126">
        <f>3+8</f>
        <v>11</v>
      </c>
      <c r="Q50" s="126">
        <f>Tabela13[[#This Row],[Coluna 23]]/2</f>
        <v>5.5</v>
      </c>
      <c r="R50" t="s">
        <v>347</v>
      </c>
      <c r="S50" t="s">
        <v>341</v>
      </c>
      <c r="T50" t="s">
        <v>291</v>
      </c>
      <c r="U50" t="s">
        <v>292</v>
      </c>
      <c r="V50" t="s">
        <v>293</v>
      </c>
      <c r="W50" t="s">
        <v>294</v>
      </c>
      <c r="X50" t="s">
        <v>309</v>
      </c>
      <c r="Y50" t="s">
        <v>294</v>
      </c>
      <c r="Z50" t="s">
        <v>496</v>
      </c>
      <c r="AA50" t="s">
        <v>324</v>
      </c>
      <c r="AB50" t="s">
        <v>298</v>
      </c>
      <c r="AC50" t="s">
        <v>385</v>
      </c>
    </row>
    <row r="51" spans="1:29">
      <c r="A51" s="117" t="s">
        <v>508</v>
      </c>
      <c r="B51" t="s">
        <v>509</v>
      </c>
      <c r="C51" s="117" t="s">
        <v>491</v>
      </c>
      <c r="D51" t="s">
        <v>492</v>
      </c>
      <c r="E51" t="s">
        <v>283</v>
      </c>
      <c r="F51" t="s">
        <v>57</v>
      </c>
      <c r="G51" t="s">
        <v>284</v>
      </c>
      <c r="H51" t="s">
        <v>468</v>
      </c>
      <c r="I51" t="s">
        <v>286</v>
      </c>
      <c r="J51" t="s">
        <v>287</v>
      </c>
      <c r="K51" t="s">
        <v>395</v>
      </c>
      <c r="L51">
        <f>LEN(Tabela13[[#This Row],[Largura de copa (metros)]])</f>
        <v>4</v>
      </c>
      <c r="M51" t="str">
        <f>LEFT(Tabela13[[#This Row],[Largura de copa (metros)]],LEN(Tabela13[[#This Row],[Largura de copa (metros)]])-1)</f>
        <v>3-8</v>
      </c>
      <c r="N51" s="126" t="s">
        <v>990</v>
      </c>
      <c r="O51" s="126" t="str">
        <f>"="&amp;Tabela13[[#This Row],[Coluna1]]</f>
        <v>=3-8</v>
      </c>
      <c r="P51" s="126">
        <f>3+8</f>
        <v>11</v>
      </c>
      <c r="Q51" s="126">
        <f>Tabela13[[#This Row],[Coluna 23]]/2</f>
        <v>5.5</v>
      </c>
      <c r="R51" t="s">
        <v>347</v>
      </c>
      <c r="S51" t="s">
        <v>510</v>
      </c>
      <c r="T51" t="s">
        <v>291</v>
      </c>
      <c r="U51" t="s">
        <v>292</v>
      </c>
      <c r="V51" t="s">
        <v>293</v>
      </c>
      <c r="W51" t="s">
        <v>294</v>
      </c>
      <c r="X51" t="s">
        <v>295</v>
      </c>
      <c r="Y51" t="s">
        <v>294</v>
      </c>
      <c r="Z51" t="s">
        <v>496</v>
      </c>
      <c r="AA51" t="s">
        <v>324</v>
      </c>
      <c r="AB51" t="s">
        <v>299</v>
      </c>
      <c r="AC51" t="s">
        <v>385</v>
      </c>
    </row>
    <row r="52" spans="1:29">
      <c r="A52" s="117" t="s">
        <v>511</v>
      </c>
      <c r="B52" t="s">
        <v>512</v>
      </c>
      <c r="C52" s="117" t="s">
        <v>513</v>
      </c>
      <c r="D52" t="s">
        <v>423</v>
      </c>
      <c r="E52" t="s">
        <v>283</v>
      </c>
      <c r="F52" t="s">
        <v>57</v>
      </c>
      <c r="G52" t="s">
        <v>319</v>
      </c>
      <c r="H52" t="s">
        <v>302</v>
      </c>
      <c r="I52" t="s">
        <v>285</v>
      </c>
      <c r="J52" t="s">
        <v>304</v>
      </c>
      <c r="K52" t="s">
        <v>376</v>
      </c>
      <c r="L52">
        <f>LEN(Tabela13[[#This Row],[Largura de copa (metros)]])</f>
        <v>4</v>
      </c>
      <c r="M52" t="str">
        <f>LEFT(Tabela13[[#This Row],[Largura de copa (metros)]],LEN(Tabela13[[#This Row],[Largura de copa (metros)]])-1)</f>
        <v>4-8</v>
      </c>
      <c r="N52" s="126" t="s">
        <v>978</v>
      </c>
      <c r="O52" s="126" t="str">
        <f>"="&amp;Tabela13[[#This Row],[Coluna1]]</f>
        <v>=4-8</v>
      </c>
      <c r="P52" s="126">
        <f>4+8</f>
        <v>12</v>
      </c>
      <c r="Q52" s="126">
        <f>Tabela13[[#This Row],[Coluna 23]]/2</f>
        <v>6</v>
      </c>
      <c r="R52" t="s">
        <v>346</v>
      </c>
      <c r="S52" t="s">
        <v>341</v>
      </c>
      <c r="T52" t="s">
        <v>291</v>
      </c>
      <c r="U52" t="s">
        <v>378</v>
      </c>
      <c r="V52" t="s">
        <v>293</v>
      </c>
      <c r="W52" t="s">
        <v>298</v>
      </c>
      <c r="X52" t="s">
        <v>390</v>
      </c>
      <c r="Y52" t="s">
        <v>325</v>
      </c>
      <c r="Z52" t="s">
        <v>323</v>
      </c>
      <c r="AA52" t="s">
        <v>297</v>
      </c>
      <c r="AB52" t="s">
        <v>294</v>
      </c>
      <c r="AC52" t="s">
        <v>314</v>
      </c>
    </row>
    <row r="53" spans="1:29">
      <c r="A53" s="117" t="s">
        <v>514</v>
      </c>
      <c r="B53" t="s">
        <v>515</v>
      </c>
      <c r="C53" s="117" t="s">
        <v>516</v>
      </c>
      <c r="D53" t="s">
        <v>517</v>
      </c>
      <c r="E53" t="s">
        <v>283</v>
      </c>
      <c r="F53" t="s">
        <v>57</v>
      </c>
      <c r="G53" t="s">
        <v>284</v>
      </c>
      <c r="H53" t="s">
        <v>285</v>
      </c>
      <c r="I53" t="s">
        <v>285</v>
      </c>
      <c r="J53" t="s">
        <v>518</v>
      </c>
      <c r="K53" t="s">
        <v>346</v>
      </c>
      <c r="L53">
        <f>LEN(Tabela13[[#This Row],[Largura de copa (metros)]])</f>
        <v>5</v>
      </c>
      <c r="M53" t="str">
        <f>LEFT(Tabela13[[#This Row],[Largura de copa (metros)]],LEN(Tabela13[[#This Row],[Largura de copa (metros)]])-1)</f>
        <v>8-10</v>
      </c>
      <c r="N53" s="126" t="s">
        <v>974</v>
      </c>
      <c r="O53" s="126" t="str">
        <f>"="&amp;Tabela13[[#This Row],[Coluna1]]</f>
        <v>=8-10</v>
      </c>
      <c r="P53" s="126">
        <f>8+10</f>
        <v>18</v>
      </c>
      <c r="Q53" s="126">
        <f>Tabela13[[#This Row],[Coluna 23]]/2</f>
        <v>9</v>
      </c>
      <c r="R53" t="s">
        <v>519</v>
      </c>
      <c r="S53" t="s">
        <v>288</v>
      </c>
      <c r="T53" t="s">
        <v>291</v>
      </c>
      <c r="U53" t="s">
        <v>322</v>
      </c>
      <c r="V53" t="s">
        <v>313</v>
      </c>
      <c r="W53" t="s">
        <v>298</v>
      </c>
      <c r="X53" t="s">
        <v>295</v>
      </c>
      <c r="Y53" t="s">
        <v>294</v>
      </c>
      <c r="Z53" t="s">
        <v>323</v>
      </c>
      <c r="AA53" t="s">
        <v>299</v>
      </c>
      <c r="AB53" t="s">
        <v>299</v>
      </c>
      <c r="AC53" t="s">
        <v>299</v>
      </c>
    </row>
    <row r="54" spans="1:29">
      <c r="A54" s="117" t="s">
        <v>520</v>
      </c>
      <c r="B54" t="s">
        <v>521</v>
      </c>
      <c r="C54" s="117" t="s">
        <v>522</v>
      </c>
      <c r="D54" t="s">
        <v>523</v>
      </c>
      <c r="E54" t="s">
        <v>283</v>
      </c>
      <c r="F54" t="s">
        <v>57</v>
      </c>
      <c r="G54" t="s">
        <v>284</v>
      </c>
      <c r="H54" t="s">
        <v>285</v>
      </c>
      <c r="I54" t="s">
        <v>303</v>
      </c>
      <c r="J54" t="s">
        <v>304</v>
      </c>
      <c r="K54" t="s">
        <v>336</v>
      </c>
      <c r="L54">
        <f>LEN(Tabela13[[#This Row],[Largura de copa (metros)]])</f>
        <v>4</v>
      </c>
      <c r="M54" t="str">
        <f>LEFT(Tabela13[[#This Row],[Largura de copa (metros)]],LEN(Tabela13[[#This Row],[Largura de copa (metros)]])-1)</f>
        <v>2-4</v>
      </c>
      <c r="N54" s="126" t="s">
        <v>972</v>
      </c>
      <c r="O54" s="126" t="str">
        <f>"="&amp;Tabela13[[#This Row],[Coluna1]]</f>
        <v>=2-4</v>
      </c>
      <c r="P54" s="126">
        <f>2+4</f>
        <v>6</v>
      </c>
      <c r="Q54" s="126">
        <f>Tabela13[[#This Row],[Coluna 23]]/2</f>
        <v>3</v>
      </c>
      <c r="R54" t="s">
        <v>336</v>
      </c>
      <c r="S54" t="s">
        <v>336</v>
      </c>
      <c r="T54" t="s">
        <v>342</v>
      </c>
      <c r="U54" t="s">
        <v>307</v>
      </c>
      <c r="V54" t="s">
        <v>313</v>
      </c>
      <c r="W54" t="s">
        <v>294</v>
      </c>
      <c r="X54" t="s">
        <v>309</v>
      </c>
      <c r="Y54" t="s">
        <v>298</v>
      </c>
      <c r="Z54" t="s">
        <v>323</v>
      </c>
      <c r="AA54" t="s">
        <v>324</v>
      </c>
      <c r="AB54" t="s">
        <v>298</v>
      </c>
      <c r="AC54" t="s">
        <v>314</v>
      </c>
    </row>
    <row r="55" spans="1:29">
      <c r="A55" s="117" t="s">
        <v>524</v>
      </c>
      <c r="B55" t="s">
        <v>525</v>
      </c>
      <c r="C55" s="117" t="s">
        <v>522</v>
      </c>
      <c r="D55" t="s">
        <v>523</v>
      </c>
      <c r="E55" t="s">
        <v>283</v>
      </c>
      <c r="F55" t="s">
        <v>57</v>
      </c>
      <c r="G55" t="s">
        <v>284</v>
      </c>
      <c r="H55" t="s">
        <v>468</v>
      </c>
      <c r="I55" t="s">
        <v>303</v>
      </c>
      <c r="J55" t="s">
        <v>304</v>
      </c>
      <c r="K55" t="s">
        <v>336</v>
      </c>
      <c r="L55">
        <f>LEN(Tabela13[[#This Row],[Largura de copa (metros)]])</f>
        <v>4</v>
      </c>
      <c r="M55" t="str">
        <f>LEFT(Tabela13[[#This Row],[Largura de copa (metros)]],LEN(Tabela13[[#This Row],[Largura de copa (metros)]])-1)</f>
        <v>2-4</v>
      </c>
      <c r="N55" s="126" t="s">
        <v>972</v>
      </c>
      <c r="O55" s="126" t="str">
        <f>"="&amp;Tabela13[[#This Row],[Coluna1]]</f>
        <v>=2-4</v>
      </c>
      <c r="P55" s="126">
        <f>2+4</f>
        <v>6</v>
      </c>
      <c r="Q55" s="126">
        <f>Tabela13[[#This Row],[Coluna 23]]/2</f>
        <v>3</v>
      </c>
      <c r="R55" t="s">
        <v>341</v>
      </c>
      <c r="S55" t="s">
        <v>336</v>
      </c>
      <c r="T55" t="s">
        <v>342</v>
      </c>
      <c r="U55" t="s">
        <v>307</v>
      </c>
      <c r="V55" t="s">
        <v>313</v>
      </c>
      <c r="W55" t="s">
        <v>294</v>
      </c>
      <c r="X55" t="s">
        <v>309</v>
      </c>
      <c r="Y55" t="s">
        <v>298</v>
      </c>
      <c r="Z55" t="s">
        <v>323</v>
      </c>
      <c r="AA55" t="s">
        <v>311</v>
      </c>
      <c r="AB55" t="s">
        <v>298</v>
      </c>
      <c r="AC55" t="s">
        <v>314</v>
      </c>
    </row>
    <row r="56" spans="1:29">
      <c r="A56" s="117" t="s">
        <v>526</v>
      </c>
      <c r="B56" t="s">
        <v>527</v>
      </c>
      <c r="C56" s="117" t="s">
        <v>522</v>
      </c>
      <c r="D56" t="s">
        <v>523</v>
      </c>
      <c r="E56" t="s">
        <v>283</v>
      </c>
      <c r="F56" t="s">
        <v>57</v>
      </c>
      <c r="G56" t="s">
        <v>284</v>
      </c>
      <c r="H56" t="s">
        <v>285</v>
      </c>
      <c r="I56" t="s">
        <v>303</v>
      </c>
      <c r="J56" t="s">
        <v>304</v>
      </c>
      <c r="K56" t="s">
        <v>336</v>
      </c>
      <c r="L56">
        <f>LEN(Tabela13[[#This Row],[Largura de copa (metros)]])</f>
        <v>4</v>
      </c>
      <c r="M56" t="str">
        <f>LEFT(Tabela13[[#This Row],[Largura de copa (metros)]],LEN(Tabela13[[#This Row],[Largura de copa (metros)]])-1)</f>
        <v>2-4</v>
      </c>
      <c r="N56" s="126" t="s">
        <v>972</v>
      </c>
      <c r="O56" s="126" t="str">
        <f>"="&amp;Tabela13[[#This Row],[Coluna1]]</f>
        <v>=2-4</v>
      </c>
      <c r="P56" s="126">
        <f>2+4</f>
        <v>6</v>
      </c>
      <c r="Q56" s="126">
        <f>Tabela13[[#This Row],[Coluna 23]]/2</f>
        <v>3</v>
      </c>
      <c r="R56" t="s">
        <v>336</v>
      </c>
      <c r="S56" t="s">
        <v>336</v>
      </c>
      <c r="T56" t="s">
        <v>342</v>
      </c>
      <c r="U56" t="s">
        <v>307</v>
      </c>
      <c r="V56" t="s">
        <v>313</v>
      </c>
      <c r="W56" t="s">
        <v>294</v>
      </c>
      <c r="X56" t="s">
        <v>309</v>
      </c>
      <c r="Y56" t="s">
        <v>298</v>
      </c>
      <c r="Z56" t="s">
        <v>323</v>
      </c>
      <c r="AA56" t="s">
        <v>324</v>
      </c>
      <c r="AB56" t="s">
        <v>298</v>
      </c>
      <c r="AC56" t="s">
        <v>314</v>
      </c>
    </row>
    <row r="57" spans="1:29">
      <c r="A57" s="117" t="s">
        <v>528</v>
      </c>
      <c r="B57" t="s">
        <v>529</v>
      </c>
      <c r="C57" s="117" t="s">
        <v>522</v>
      </c>
      <c r="D57" t="s">
        <v>523</v>
      </c>
      <c r="E57" t="s">
        <v>283</v>
      </c>
      <c r="F57" t="s">
        <v>57</v>
      </c>
      <c r="G57" t="s">
        <v>284</v>
      </c>
      <c r="H57" t="s">
        <v>285</v>
      </c>
      <c r="I57" t="s">
        <v>303</v>
      </c>
      <c r="J57" t="s">
        <v>304</v>
      </c>
      <c r="K57" t="s">
        <v>336</v>
      </c>
      <c r="L57">
        <f>LEN(Tabela13[[#This Row],[Largura de copa (metros)]])</f>
        <v>4</v>
      </c>
      <c r="M57" t="str">
        <f>LEFT(Tabela13[[#This Row],[Largura de copa (metros)]],LEN(Tabela13[[#This Row],[Largura de copa (metros)]])-1)</f>
        <v>2-4</v>
      </c>
      <c r="N57" s="126" t="s">
        <v>972</v>
      </c>
      <c r="O57" s="126" t="str">
        <f>"="&amp;Tabela13[[#This Row],[Coluna1]]</f>
        <v>=2-4</v>
      </c>
      <c r="P57" s="126">
        <f>2+4</f>
        <v>6</v>
      </c>
      <c r="Q57" s="126">
        <f>Tabela13[[#This Row],[Coluna 23]]/2</f>
        <v>3</v>
      </c>
      <c r="R57" t="s">
        <v>306</v>
      </c>
      <c r="S57" t="s">
        <v>336</v>
      </c>
      <c r="T57" t="s">
        <v>342</v>
      </c>
      <c r="U57" t="s">
        <v>307</v>
      </c>
      <c r="V57" t="s">
        <v>313</v>
      </c>
      <c r="W57" t="s">
        <v>294</v>
      </c>
      <c r="X57" t="s">
        <v>309</v>
      </c>
      <c r="Y57" t="s">
        <v>298</v>
      </c>
      <c r="Z57" t="s">
        <v>323</v>
      </c>
      <c r="AA57" t="s">
        <v>311</v>
      </c>
      <c r="AB57" t="s">
        <v>325</v>
      </c>
      <c r="AC57" t="s">
        <v>396</v>
      </c>
    </row>
    <row r="58" spans="1:29">
      <c r="A58" s="117" t="s">
        <v>530</v>
      </c>
      <c r="B58" t="s">
        <v>531</v>
      </c>
      <c r="C58" s="117" t="s">
        <v>532</v>
      </c>
      <c r="D58" t="s">
        <v>533</v>
      </c>
      <c r="E58" t="s">
        <v>283</v>
      </c>
      <c r="F58" t="s">
        <v>57</v>
      </c>
      <c r="G58" t="s">
        <v>284</v>
      </c>
      <c r="H58" t="s">
        <v>468</v>
      </c>
      <c r="I58" t="s">
        <v>303</v>
      </c>
      <c r="J58" t="s">
        <v>454</v>
      </c>
      <c r="K58" t="s">
        <v>340</v>
      </c>
      <c r="L58">
        <f>LEN(Tabela13[[#This Row],[Largura de copa (metros)]])</f>
        <v>4</v>
      </c>
      <c r="M58" t="str">
        <f>LEFT(Tabela13[[#This Row],[Largura de copa (metros)]],LEN(Tabela13[[#This Row],[Largura de copa (metros)]])-1)</f>
        <v>2-3</v>
      </c>
      <c r="N58" s="126" t="s">
        <v>973</v>
      </c>
      <c r="O58" s="126" t="str">
        <f>"="&amp;Tabela13[[#This Row],[Coluna1]]</f>
        <v>=2-3</v>
      </c>
      <c r="P58" s="126">
        <f>2+3</f>
        <v>5</v>
      </c>
      <c r="Q58" s="126">
        <f>Tabela13[[#This Row],[Coluna 23]]/2</f>
        <v>2.5</v>
      </c>
      <c r="R58" t="s">
        <v>305</v>
      </c>
      <c r="S58" t="s">
        <v>340</v>
      </c>
      <c r="T58" t="s">
        <v>342</v>
      </c>
      <c r="U58" t="s">
        <v>307</v>
      </c>
      <c r="V58" t="s">
        <v>308</v>
      </c>
      <c r="W58" t="s">
        <v>294</v>
      </c>
      <c r="X58" t="s">
        <v>309</v>
      </c>
      <c r="Y58" t="s">
        <v>325</v>
      </c>
      <c r="Z58" t="s">
        <v>323</v>
      </c>
      <c r="AA58" t="s">
        <v>297</v>
      </c>
      <c r="AB58" t="s">
        <v>299</v>
      </c>
      <c r="AC58" t="s">
        <v>299</v>
      </c>
    </row>
    <row r="59" spans="1:29">
      <c r="A59" s="117" t="s">
        <v>534</v>
      </c>
      <c r="B59" t="s">
        <v>299</v>
      </c>
      <c r="C59" s="117" t="s">
        <v>535</v>
      </c>
      <c r="D59" t="s">
        <v>536</v>
      </c>
      <c r="E59" t="s">
        <v>283</v>
      </c>
      <c r="F59" t="s">
        <v>57</v>
      </c>
      <c r="G59" t="s">
        <v>319</v>
      </c>
      <c r="H59" t="s">
        <v>468</v>
      </c>
      <c r="I59" t="s">
        <v>303</v>
      </c>
      <c r="J59" t="s">
        <v>407</v>
      </c>
      <c r="K59" t="s">
        <v>305</v>
      </c>
      <c r="L59">
        <f>LEN(Tabela13[[#This Row],[Largura de copa (metros)]])</f>
        <v>4</v>
      </c>
      <c r="M59" t="str">
        <f>LEFT(Tabela13[[#This Row],[Largura de copa (metros)]],LEN(Tabela13[[#This Row],[Largura de copa (metros)]])-1)</f>
        <v>4-6</v>
      </c>
      <c r="N59" s="126" t="s">
        <v>969</v>
      </c>
      <c r="O59" s="126" t="str">
        <f>"="&amp;Tabela13[[#This Row],[Coluna1]]</f>
        <v>=4-6</v>
      </c>
      <c r="P59" s="126">
        <f>4+6</f>
        <v>10</v>
      </c>
      <c r="Q59" s="126">
        <f>Tabela13[[#This Row],[Coluna 23]]/2</f>
        <v>5</v>
      </c>
      <c r="R59" t="s">
        <v>329</v>
      </c>
      <c r="S59" t="s">
        <v>306</v>
      </c>
      <c r="T59" t="s">
        <v>291</v>
      </c>
      <c r="U59" t="s">
        <v>378</v>
      </c>
      <c r="V59" t="s">
        <v>363</v>
      </c>
      <c r="W59" t="s">
        <v>294</v>
      </c>
      <c r="X59" t="s">
        <v>299</v>
      </c>
      <c r="Y59" t="s">
        <v>294</v>
      </c>
      <c r="Z59" t="s">
        <v>296</v>
      </c>
      <c r="AA59" t="s">
        <v>299</v>
      </c>
      <c r="AB59" t="s">
        <v>298</v>
      </c>
      <c r="AC59" t="s">
        <v>299</v>
      </c>
    </row>
    <row r="60" spans="1:29">
      <c r="A60" s="117" t="s">
        <v>537</v>
      </c>
      <c r="B60" t="s">
        <v>538</v>
      </c>
      <c r="C60" s="117" t="s">
        <v>539</v>
      </c>
      <c r="D60" t="s">
        <v>382</v>
      </c>
      <c r="E60" t="s">
        <v>353</v>
      </c>
      <c r="F60" t="s">
        <v>57</v>
      </c>
      <c r="G60" t="s">
        <v>319</v>
      </c>
      <c r="H60" t="s">
        <v>285</v>
      </c>
      <c r="I60" t="s">
        <v>303</v>
      </c>
      <c r="J60" t="s">
        <v>320</v>
      </c>
      <c r="K60" t="s">
        <v>336</v>
      </c>
      <c r="L60">
        <f>LEN(Tabela13[[#This Row],[Largura de copa (metros)]])</f>
        <v>4</v>
      </c>
      <c r="M60" t="str">
        <f>LEFT(Tabela13[[#This Row],[Largura de copa (metros)]],LEN(Tabela13[[#This Row],[Largura de copa (metros)]])-1)</f>
        <v>2-4</v>
      </c>
      <c r="N60" s="126" t="s">
        <v>972</v>
      </c>
      <c r="O60" s="126" t="str">
        <f>"="&amp;Tabela13[[#This Row],[Coluna1]]</f>
        <v>=2-4</v>
      </c>
      <c r="P60" s="126">
        <f>2+4</f>
        <v>6</v>
      </c>
      <c r="Q60" s="126">
        <f>Tabela13[[#This Row],[Coluna 23]]/2</f>
        <v>3</v>
      </c>
      <c r="R60" t="s">
        <v>403</v>
      </c>
      <c r="S60" t="s">
        <v>336</v>
      </c>
      <c r="T60" t="s">
        <v>342</v>
      </c>
      <c r="U60" t="s">
        <v>307</v>
      </c>
      <c r="V60" t="s">
        <v>308</v>
      </c>
      <c r="W60" t="s">
        <v>298</v>
      </c>
      <c r="X60" t="s">
        <v>295</v>
      </c>
      <c r="Y60" t="s">
        <v>298</v>
      </c>
      <c r="Z60" t="s">
        <v>323</v>
      </c>
      <c r="AA60" t="s">
        <v>324</v>
      </c>
      <c r="AB60" t="s">
        <v>298</v>
      </c>
      <c r="AC60" t="s">
        <v>299</v>
      </c>
    </row>
    <row r="61" spans="1:29" s="121" customFormat="1">
      <c r="A61" s="120" t="s">
        <v>541</v>
      </c>
      <c r="B61" s="121" t="s">
        <v>542</v>
      </c>
      <c r="C61" s="120" t="s">
        <v>543</v>
      </c>
      <c r="D61" s="121" t="s">
        <v>540</v>
      </c>
      <c r="E61" s="121" t="s">
        <v>353</v>
      </c>
      <c r="F61" s="121" t="s">
        <v>57</v>
      </c>
      <c r="G61" s="121" t="s">
        <v>319</v>
      </c>
      <c r="H61" t="s">
        <v>302</v>
      </c>
      <c r="I61" s="121" t="s">
        <v>303</v>
      </c>
      <c r="J61" s="121" t="s">
        <v>304</v>
      </c>
      <c r="K61" s="121" t="s">
        <v>336</v>
      </c>
      <c r="L61" s="121">
        <f>LEN(Tabela13[[#This Row],[Largura de copa (metros)]])</f>
        <v>4</v>
      </c>
      <c r="M61" s="121" t="str">
        <f>LEFT(Tabela13[[#This Row],[Largura de copa (metros)]],LEN(Tabela13[[#This Row],[Largura de copa (metros)]])-1)</f>
        <v>2-4</v>
      </c>
      <c r="N61" s="127" t="s">
        <v>972</v>
      </c>
      <c r="O61" s="127" t="str">
        <f>"="&amp;Tabela13[[#This Row],[Coluna1]]</f>
        <v>=2-4</v>
      </c>
      <c r="P61" s="127">
        <f>2+4</f>
        <v>6</v>
      </c>
      <c r="Q61" s="127">
        <f>Tabela13[[#This Row],[Coluna 23]]/2</f>
        <v>3</v>
      </c>
      <c r="R61" s="121" t="s">
        <v>376</v>
      </c>
      <c r="S61" s="121" t="s">
        <v>336</v>
      </c>
      <c r="T61" s="121" t="s">
        <v>342</v>
      </c>
      <c r="U61" t="s">
        <v>378</v>
      </c>
      <c r="V61" s="121" t="s">
        <v>308</v>
      </c>
      <c r="W61" s="121" t="s">
        <v>294</v>
      </c>
      <c r="X61" s="121" t="s">
        <v>309</v>
      </c>
      <c r="Y61" s="121" t="s">
        <v>294</v>
      </c>
      <c r="Z61" s="121" t="s">
        <v>323</v>
      </c>
      <c r="AA61" s="121" t="s">
        <v>324</v>
      </c>
      <c r="AB61" s="121" t="s">
        <v>299</v>
      </c>
      <c r="AC61" s="121" t="s">
        <v>314</v>
      </c>
    </row>
    <row r="62" spans="1:29" s="121" customFormat="1">
      <c r="A62" s="117" t="s">
        <v>544</v>
      </c>
      <c r="B62" s="121" t="s">
        <v>545</v>
      </c>
      <c r="C62" s="117" t="s">
        <v>546</v>
      </c>
      <c r="D62" t="s">
        <v>492</v>
      </c>
      <c r="E62" t="s">
        <v>283</v>
      </c>
      <c r="F62" t="s">
        <v>57</v>
      </c>
      <c r="G62" t="s">
        <v>284</v>
      </c>
      <c r="H62" s="121" t="s">
        <v>285</v>
      </c>
      <c r="I62" s="121" t="s">
        <v>285</v>
      </c>
      <c r="J62" s="121" t="s">
        <v>547</v>
      </c>
      <c r="K62" s="121" t="s">
        <v>548</v>
      </c>
      <c r="L62" s="121">
        <f>LEN(Tabela13[[#This Row],[Largura de copa (metros)]])</f>
        <v>4</v>
      </c>
      <c r="M62" s="121" t="str">
        <f>LEFT(Tabela13[[#This Row],[Largura de copa (metros)]],LEN(Tabela13[[#This Row],[Largura de copa (metros)]])-1)</f>
        <v>1-2</v>
      </c>
      <c r="N62" s="127" t="s">
        <v>991</v>
      </c>
      <c r="O62" s="127" t="str">
        <f>"="&amp;Tabela13[[#This Row],[Coluna1]]</f>
        <v>=1-2</v>
      </c>
      <c r="P62" s="127">
        <f>1+2</f>
        <v>3</v>
      </c>
      <c r="Q62" s="127">
        <f>Tabela13[[#This Row],[Coluna 23]]/2</f>
        <v>1.5</v>
      </c>
      <c r="R62" s="121" t="s">
        <v>449</v>
      </c>
      <c r="S62" s="121" t="s">
        <v>548</v>
      </c>
      <c r="T62" s="121" t="s">
        <v>342</v>
      </c>
      <c r="U62" s="121" t="s">
        <v>292</v>
      </c>
      <c r="V62" t="s">
        <v>293</v>
      </c>
      <c r="W62" t="s">
        <v>294</v>
      </c>
      <c r="X62" s="121" t="s">
        <v>309</v>
      </c>
      <c r="Y62" s="121" t="s">
        <v>298</v>
      </c>
      <c r="Z62" s="121" t="s">
        <v>296</v>
      </c>
      <c r="AA62" s="121" t="s">
        <v>297</v>
      </c>
      <c r="AB62" s="121" t="s">
        <v>299</v>
      </c>
      <c r="AC62" s="121" t="s">
        <v>299</v>
      </c>
    </row>
    <row r="63" spans="1:29">
      <c r="A63" s="117" t="s">
        <v>549</v>
      </c>
      <c r="B63" t="s">
        <v>550</v>
      </c>
      <c r="C63" s="117" t="s">
        <v>505</v>
      </c>
      <c r="D63" t="s">
        <v>492</v>
      </c>
      <c r="E63" t="s">
        <v>283</v>
      </c>
      <c r="F63" t="s">
        <v>57</v>
      </c>
      <c r="G63" t="s">
        <v>284</v>
      </c>
      <c r="H63" t="s">
        <v>285</v>
      </c>
      <c r="I63" t="s">
        <v>285</v>
      </c>
      <c r="J63" t="s">
        <v>287</v>
      </c>
      <c r="K63" t="s">
        <v>551</v>
      </c>
      <c r="L63">
        <f>LEN(Tabela13[[#This Row],[Largura de copa (metros)]])</f>
        <v>4</v>
      </c>
      <c r="M63" t="str">
        <f>LEFT(Tabela13[[#This Row],[Largura de copa (metros)]],LEN(Tabela13[[#This Row],[Largura de copa (metros)]])-1)</f>
        <v>4-5</v>
      </c>
      <c r="N63" s="126" t="s">
        <v>992</v>
      </c>
      <c r="O63" s="126" t="str">
        <f>"="&amp;Tabela13[[#This Row],[Coluna1]]</f>
        <v>=4-5</v>
      </c>
      <c r="P63" s="126">
        <f>4+5</f>
        <v>9</v>
      </c>
      <c r="Q63" s="126">
        <f>Tabela13[[#This Row],[Coluna 23]]/2</f>
        <v>4.5</v>
      </c>
      <c r="R63" t="s">
        <v>328</v>
      </c>
      <c r="S63" t="s">
        <v>488</v>
      </c>
      <c r="T63" t="s">
        <v>342</v>
      </c>
      <c r="U63" t="s">
        <v>292</v>
      </c>
      <c r="V63" t="s">
        <v>293</v>
      </c>
      <c r="W63" t="s">
        <v>294</v>
      </c>
      <c r="X63" t="s">
        <v>390</v>
      </c>
      <c r="Y63" t="s">
        <v>294</v>
      </c>
      <c r="Z63" t="s">
        <v>323</v>
      </c>
      <c r="AA63" t="s">
        <v>324</v>
      </c>
      <c r="AB63" t="s">
        <v>325</v>
      </c>
      <c r="AC63" t="s">
        <v>385</v>
      </c>
    </row>
    <row r="64" spans="1:29">
      <c r="A64" s="117" t="s">
        <v>552</v>
      </c>
      <c r="B64" t="s">
        <v>553</v>
      </c>
      <c r="C64" s="117" t="s">
        <v>505</v>
      </c>
      <c r="D64" t="s">
        <v>492</v>
      </c>
      <c r="E64" t="s">
        <v>283</v>
      </c>
      <c r="F64" t="s">
        <v>57</v>
      </c>
      <c r="G64" t="s">
        <v>284</v>
      </c>
      <c r="H64" t="s">
        <v>302</v>
      </c>
      <c r="I64" t="s">
        <v>286</v>
      </c>
      <c r="J64" t="s">
        <v>493</v>
      </c>
      <c r="K64" t="s">
        <v>349</v>
      </c>
      <c r="L64">
        <f>LEN(Tabela13[[#This Row],[Largura de copa (metros)]])</f>
        <v>6</v>
      </c>
      <c r="M64" t="str">
        <f>LEFT(Tabela13[[#This Row],[Largura de copa (metros)]],LEN(Tabela13[[#This Row],[Largura de copa (metros)]])-1)</f>
        <v>10-15</v>
      </c>
      <c r="N64" s="126" t="s">
        <v>975</v>
      </c>
      <c r="O64" s="126" t="str">
        <f>"="&amp;Tabela13[[#This Row],[Coluna1]]</f>
        <v>=10-15</v>
      </c>
      <c r="P64" s="126">
        <f>10+15</f>
        <v>25</v>
      </c>
      <c r="Q64" s="126">
        <f>Tabela13[[#This Row],[Coluna 23]]/2</f>
        <v>12.5</v>
      </c>
      <c r="R64" t="s">
        <v>554</v>
      </c>
      <c r="S64" t="s">
        <v>321</v>
      </c>
      <c r="T64" t="s">
        <v>362</v>
      </c>
      <c r="U64" t="s">
        <v>292</v>
      </c>
      <c r="V64" t="s">
        <v>299</v>
      </c>
      <c r="W64" t="s">
        <v>299</v>
      </c>
      <c r="X64" t="s">
        <v>299</v>
      </c>
      <c r="Y64" t="s">
        <v>294</v>
      </c>
      <c r="Z64" t="s">
        <v>323</v>
      </c>
      <c r="AA64" t="s">
        <v>324</v>
      </c>
      <c r="AB64" t="s">
        <v>325</v>
      </c>
      <c r="AC64" t="s">
        <v>385</v>
      </c>
    </row>
    <row r="65" spans="1:29">
      <c r="A65" s="117" t="s">
        <v>555</v>
      </c>
      <c r="B65" t="s">
        <v>556</v>
      </c>
      <c r="C65" s="117" t="s">
        <v>505</v>
      </c>
      <c r="D65" t="s">
        <v>492</v>
      </c>
      <c r="E65" t="s">
        <v>283</v>
      </c>
      <c r="F65" t="s">
        <v>57</v>
      </c>
      <c r="G65" t="s">
        <v>284</v>
      </c>
      <c r="H65" t="s">
        <v>302</v>
      </c>
      <c r="I65" t="s">
        <v>286</v>
      </c>
      <c r="J65" t="s">
        <v>339</v>
      </c>
      <c r="K65" t="s">
        <v>376</v>
      </c>
      <c r="L65">
        <f>LEN(Tabela13[[#This Row],[Largura de copa (metros)]])</f>
        <v>4</v>
      </c>
      <c r="M65" t="str">
        <f>LEFT(Tabela13[[#This Row],[Largura de copa (metros)]],LEN(Tabela13[[#This Row],[Largura de copa (metros)]])-1)</f>
        <v>4-8</v>
      </c>
      <c r="N65" s="126" t="s">
        <v>978</v>
      </c>
      <c r="O65" s="126" t="str">
        <f>"="&amp;Tabela13[[#This Row],[Coluna1]]</f>
        <v>=4-8</v>
      </c>
      <c r="P65" s="126">
        <f>4+8</f>
        <v>12</v>
      </c>
      <c r="Q65" s="126">
        <f>Tabela13[[#This Row],[Coluna 23]]/2</f>
        <v>6</v>
      </c>
      <c r="R65" t="s">
        <v>347</v>
      </c>
      <c r="S65" t="s">
        <v>341</v>
      </c>
      <c r="T65" t="s">
        <v>291</v>
      </c>
      <c r="U65" t="s">
        <v>292</v>
      </c>
      <c r="V65" t="s">
        <v>293</v>
      </c>
      <c r="W65" t="s">
        <v>294</v>
      </c>
      <c r="X65" t="s">
        <v>390</v>
      </c>
      <c r="Y65" t="s">
        <v>294</v>
      </c>
      <c r="Z65" t="s">
        <v>323</v>
      </c>
      <c r="AA65" t="s">
        <v>324</v>
      </c>
      <c r="AB65" t="s">
        <v>325</v>
      </c>
      <c r="AC65" t="s">
        <v>385</v>
      </c>
    </row>
    <row r="66" spans="1:29">
      <c r="A66" s="117" t="s">
        <v>557</v>
      </c>
      <c r="B66" t="s">
        <v>558</v>
      </c>
      <c r="C66" s="117" t="s">
        <v>505</v>
      </c>
      <c r="D66" t="s">
        <v>492</v>
      </c>
      <c r="E66" t="s">
        <v>283</v>
      </c>
      <c r="F66" t="s">
        <v>57</v>
      </c>
      <c r="G66" t="s">
        <v>284</v>
      </c>
      <c r="H66" t="s">
        <v>468</v>
      </c>
      <c r="I66" t="s">
        <v>285</v>
      </c>
      <c r="J66" t="s">
        <v>547</v>
      </c>
      <c r="K66" t="s">
        <v>340</v>
      </c>
      <c r="L66">
        <f>LEN(Tabela13[[#This Row],[Largura de copa (metros)]])</f>
        <v>4</v>
      </c>
      <c r="M66" t="str">
        <f>LEFT(Tabela13[[#This Row],[Largura de copa (metros)]],LEN(Tabela13[[#This Row],[Largura de copa (metros)]])-1)</f>
        <v>2-3</v>
      </c>
      <c r="N66" s="126" t="s">
        <v>973</v>
      </c>
      <c r="O66" s="126" t="str">
        <f>"="&amp;Tabela13[[#This Row],[Coluna1]]</f>
        <v>=2-3</v>
      </c>
      <c r="P66" s="126">
        <f>2+3</f>
        <v>5</v>
      </c>
      <c r="Q66" s="126">
        <f>Tabela13[[#This Row],[Coluna 23]]/2</f>
        <v>2.5</v>
      </c>
      <c r="R66" t="s">
        <v>559</v>
      </c>
      <c r="S66" t="s">
        <v>340</v>
      </c>
      <c r="T66" t="s">
        <v>342</v>
      </c>
      <c r="U66" t="s">
        <v>292</v>
      </c>
      <c r="V66" t="s">
        <v>293</v>
      </c>
      <c r="W66" t="s">
        <v>294</v>
      </c>
      <c r="X66" t="s">
        <v>309</v>
      </c>
      <c r="Y66" t="s">
        <v>294</v>
      </c>
      <c r="Z66" t="s">
        <v>323</v>
      </c>
      <c r="AA66" t="s">
        <v>324</v>
      </c>
      <c r="AB66" t="s">
        <v>325</v>
      </c>
      <c r="AC66" t="s">
        <v>385</v>
      </c>
    </row>
    <row r="67" spans="1:29">
      <c r="A67" s="117" t="s">
        <v>560</v>
      </c>
      <c r="B67" t="s">
        <v>561</v>
      </c>
      <c r="C67" s="117" t="s">
        <v>562</v>
      </c>
      <c r="D67" t="s">
        <v>563</v>
      </c>
      <c r="E67" t="s">
        <v>283</v>
      </c>
      <c r="F67" t="s">
        <v>57</v>
      </c>
      <c r="G67" t="s">
        <v>319</v>
      </c>
      <c r="H67" t="s">
        <v>468</v>
      </c>
      <c r="I67" t="s">
        <v>303</v>
      </c>
      <c r="J67" t="s">
        <v>564</v>
      </c>
      <c r="K67" s="123" t="s">
        <v>305</v>
      </c>
      <c r="L67">
        <f>LEN(Tabela13[[#This Row],[Largura de copa (metros)]])</f>
        <v>4</v>
      </c>
      <c r="M67" t="str">
        <f>LEFT(Tabela13[[#This Row],[Largura de copa (metros)]],LEN(Tabela13[[#This Row],[Largura de copa (metros)]])-1)</f>
        <v>4-6</v>
      </c>
      <c r="N67" s="126" t="s">
        <v>969</v>
      </c>
      <c r="O67" s="126" t="str">
        <f>"="&amp;Tabela13[[#This Row],[Coluna1]]</f>
        <v>=4-6</v>
      </c>
      <c r="P67" s="126">
        <f>4+6</f>
        <v>10</v>
      </c>
      <c r="Q67" s="126">
        <f>Tabela13[[#This Row],[Coluna 23]]/2</f>
        <v>5</v>
      </c>
      <c r="R67" t="s">
        <v>290</v>
      </c>
      <c r="S67" t="s">
        <v>306</v>
      </c>
      <c r="T67" t="s">
        <v>291</v>
      </c>
      <c r="U67" t="s">
        <v>378</v>
      </c>
      <c r="V67" t="s">
        <v>293</v>
      </c>
      <c r="W67" t="s">
        <v>294</v>
      </c>
      <c r="X67" t="s">
        <v>309</v>
      </c>
      <c r="Y67" t="s">
        <v>298</v>
      </c>
      <c r="Z67" t="s">
        <v>310</v>
      </c>
      <c r="AA67" t="s">
        <v>297</v>
      </c>
      <c r="AB67" t="s">
        <v>325</v>
      </c>
      <c r="AC67" t="s">
        <v>565</v>
      </c>
    </row>
    <row r="68" spans="1:29">
      <c r="A68" s="117" t="s">
        <v>566</v>
      </c>
      <c r="B68" t="s">
        <v>567</v>
      </c>
      <c r="C68" s="117" t="s">
        <v>568</v>
      </c>
      <c r="D68" t="s">
        <v>533</v>
      </c>
      <c r="E68" t="s">
        <v>283</v>
      </c>
      <c r="F68" t="s">
        <v>57</v>
      </c>
      <c r="G68" t="s">
        <v>284</v>
      </c>
      <c r="H68" t="s">
        <v>468</v>
      </c>
      <c r="I68" t="s">
        <v>285</v>
      </c>
      <c r="J68" t="s">
        <v>564</v>
      </c>
      <c r="K68" t="s">
        <v>435</v>
      </c>
      <c r="L68">
        <f>LEN(Tabela13[[#This Row],[Largura de copa (metros)]])</f>
        <v>5</v>
      </c>
      <c r="M68" t="str">
        <f>LEFT(Tabela13[[#This Row],[Largura de copa (metros)]],LEN(Tabela13[[#This Row],[Largura de copa (metros)]])-1)</f>
        <v>2-10</v>
      </c>
      <c r="N68" s="126" t="s">
        <v>993</v>
      </c>
      <c r="O68" s="126" t="str">
        <f>"="&amp;Tabela13[[#This Row],[Coluna1]]</f>
        <v>=2-10</v>
      </c>
      <c r="P68" s="126">
        <f>2+10</f>
        <v>12</v>
      </c>
      <c r="Q68" s="126">
        <f>Tabela13[[#This Row],[Coluna 23]]/2</f>
        <v>6</v>
      </c>
      <c r="R68" t="s">
        <v>569</v>
      </c>
      <c r="S68" t="s">
        <v>401</v>
      </c>
      <c r="T68" t="s">
        <v>291</v>
      </c>
      <c r="U68" t="s">
        <v>292</v>
      </c>
      <c r="V68" t="s">
        <v>308</v>
      </c>
      <c r="W68" t="s">
        <v>294</v>
      </c>
      <c r="X68" t="s">
        <v>309</v>
      </c>
      <c r="Y68" t="s">
        <v>298</v>
      </c>
      <c r="Z68" t="s">
        <v>310</v>
      </c>
      <c r="AA68" t="s">
        <v>297</v>
      </c>
      <c r="AB68" t="s">
        <v>299</v>
      </c>
      <c r="AC68" t="s">
        <v>299</v>
      </c>
    </row>
    <row r="69" spans="1:29">
      <c r="A69" s="117" t="s">
        <v>570</v>
      </c>
      <c r="B69" t="s">
        <v>571</v>
      </c>
      <c r="C69" s="117" t="s">
        <v>572</v>
      </c>
      <c r="D69" t="s">
        <v>573</v>
      </c>
      <c r="E69" t="s">
        <v>283</v>
      </c>
      <c r="F69" t="s">
        <v>57</v>
      </c>
      <c r="G69" t="s">
        <v>319</v>
      </c>
      <c r="H69" t="s">
        <v>302</v>
      </c>
      <c r="I69" t="s">
        <v>303</v>
      </c>
      <c r="J69" t="s">
        <v>320</v>
      </c>
      <c r="K69" t="s">
        <v>336</v>
      </c>
      <c r="L69">
        <f>LEN(Tabela13[[#This Row],[Largura de copa (metros)]])</f>
        <v>4</v>
      </c>
      <c r="M69" t="str">
        <f>LEFT(Tabela13[[#This Row],[Largura de copa (metros)]],LEN(Tabela13[[#This Row],[Largura de copa (metros)]])-1)</f>
        <v>2-4</v>
      </c>
      <c r="N69" s="126" t="s">
        <v>972</v>
      </c>
      <c r="O69" s="126" t="str">
        <f>"="&amp;Tabela13[[#This Row],[Coluna1]]</f>
        <v>=2-4</v>
      </c>
      <c r="P69" s="126">
        <f>2+4</f>
        <v>6</v>
      </c>
      <c r="Q69" s="126">
        <f>Tabela13[[#This Row],[Coluna 23]]/2</f>
        <v>3</v>
      </c>
      <c r="R69" t="s">
        <v>288</v>
      </c>
      <c r="S69" t="s">
        <v>336</v>
      </c>
      <c r="T69" t="s">
        <v>342</v>
      </c>
      <c r="U69" t="s">
        <v>378</v>
      </c>
      <c r="V69" t="s">
        <v>384</v>
      </c>
      <c r="W69" t="s">
        <v>294</v>
      </c>
      <c r="X69" t="s">
        <v>390</v>
      </c>
      <c r="Y69" t="s">
        <v>294</v>
      </c>
      <c r="Z69" t="s">
        <v>323</v>
      </c>
      <c r="AA69" t="s">
        <v>324</v>
      </c>
      <c r="AB69" t="s">
        <v>294</v>
      </c>
      <c r="AC69" t="s">
        <v>314</v>
      </c>
    </row>
    <row r="70" spans="1:29">
      <c r="A70" s="117" t="s">
        <v>574</v>
      </c>
      <c r="B70" t="s">
        <v>575</v>
      </c>
      <c r="C70" s="117" t="s">
        <v>576</v>
      </c>
      <c r="D70" t="s">
        <v>540</v>
      </c>
      <c r="E70" t="s">
        <v>283</v>
      </c>
      <c r="F70" t="s">
        <v>57</v>
      </c>
      <c r="G70" t="s">
        <v>284</v>
      </c>
      <c r="H70" t="s">
        <v>285</v>
      </c>
      <c r="I70" t="s">
        <v>303</v>
      </c>
      <c r="J70" t="s">
        <v>320</v>
      </c>
      <c r="K70" t="s">
        <v>305</v>
      </c>
      <c r="L70">
        <f>LEN(Tabela13[[#This Row],[Largura de copa (metros)]])</f>
        <v>4</v>
      </c>
      <c r="M70" t="str">
        <f>LEFT(Tabela13[[#This Row],[Largura de copa (metros)]],LEN(Tabela13[[#This Row],[Largura de copa (metros)]])-1)</f>
        <v>4-6</v>
      </c>
      <c r="N70" s="126" t="s">
        <v>969</v>
      </c>
      <c r="O70" s="126" t="str">
        <f>"="&amp;Tabela13[[#This Row],[Coluna1]]</f>
        <v>=4-6</v>
      </c>
      <c r="P70" s="126">
        <f>4+6</f>
        <v>10</v>
      </c>
      <c r="Q70" s="126">
        <f>Tabela13[[#This Row],[Coluna 23]]/2</f>
        <v>5</v>
      </c>
      <c r="R70" t="s">
        <v>577</v>
      </c>
      <c r="S70" t="s">
        <v>306</v>
      </c>
      <c r="T70" t="s">
        <v>291</v>
      </c>
      <c r="U70" t="s">
        <v>307</v>
      </c>
      <c r="V70" t="s">
        <v>313</v>
      </c>
      <c r="W70" t="s">
        <v>294</v>
      </c>
      <c r="X70" t="s">
        <v>309</v>
      </c>
      <c r="Y70" t="s">
        <v>298</v>
      </c>
      <c r="Z70" t="s">
        <v>323</v>
      </c>
      <c r="AA70" t="s">
        <v>299</v>
      </c>
      <c r="AB70" t="s">
        <v>298</v>
      </c>
      <c r="AC70" t="s">
        <v>396</v>
      </c>
    </row>
    <row r="71" spans="1:29">
      <c r="A71" s="117" t="s">
        <v>578</v>
      </c>
      <c r="B71" t="s">
        <v>579</v>
      </c>
      <c r="C71" s="117" t="s">
        <v>580</v>
      </c>
      <c r="D71" t="s">
        <v>301</v>
      </c>
      <c r="E71" t="s">
        <v>283</v>
      </c>
      <c r="F71" t="s">
        <v>57</v>
      </c>
      <c r="G71" t="s">
        <v>319</v>
      </c>
      <c r="H71" t="s">
        <v>302</v>
      </c>
      <c r="I71" t="s">
        <v>303</v>
      </c>
      <c r="J71" t="s">
        <v>564</v>
      </c>
      <c r="K71" t="s">
        <v>288</v>
      </c>
      <c r="L71">
        <f>LEN(Tabela13[[#This Row],[Largura de copa (metros)]])</f>
        <v>4</v>
      </c>
      <c r="M71" t="str">
        <f>LEFT(Tabela13[[#This Row],[Largura de copa (metros)]],LEN(Tabela13[[#This Row],[Largura de copa (metros)]])-1)</f>
        <v>6-8</v>
      </c>
      <c r="N71" s="126" t="s">
        <v>968</v>
      </c>
      <c r="O71" s="126" t="str">
        <f>"="&amp;Tabela13[[#This Row],[Coluna1]]</f>
        <v>=6-8</v>
      </c>
      <c r="P71" s="126">
        <f>6+8</f>
        <v>14</v>
      </c>
      <c r="Q71" s="126">
        <f>Tabela13[[#This Row],[Coluna 23]]/2</f>
        <v>7</v>
      </c>
      <c r="R71" t="s">
        <v>376</v>
      </c>
      <c r="S71" t="s">
        <v>290</v>
      </c>
      <c r="T71" t="s">
        <v>291</v>
      </c>
      <c r="U71" t="s">
        <v>378</v>
      </c>
      <c r="V71" t="s">
        <v>308</v>
      </c>
      <c r="W71" t="s">
        <v>294</v>
      </c>
      <c r="X71" t="s">
        <v>309</v>
      </c>
      <c r="Y71" t="s">
        <v>298</v>
      </c>
      <c r="Z71" t="s">
        <v>310</v>
      </c>
      <c r="AA71" t="s">
        <v>311</v>
      </c>
      <c r="AB71" t="s">
        <v>299</v>
      </c>
      <c r="AC71" t="s">
        <v>314</v>
      </c>
    </row>
    <row r="72" spans="1:29">
      <c r="A72" s="117" t="s">
        <v>581</v>
      </c>
      <c r="B72" t="s">
        <v>582</v>
      </c>
      <c r="C72" s="117" t="s">
        <v>583</v>
      </c>
      <c r="D72" t="s">
        <v>433</v>
      </c>
      <c r="E72" t="s">
        <v>283</v>
      </c>
      <c r="F72" t="s">
        <v>57</v>
      </c>
      <c r="G72" t="s">
        <v>284</v>
      </c>
      <c r="H72" t="s">
        <v>285</v>
      </c>
      <c r="I72" t="s">
        <v>285</v>
      </c>
      <c r="J72" t="s">
        <v>304</v>
      </c>
      <c r="K72" t="s">
        <v>305</v>
      </c>
      <c r="L72">
        <f>LEN(Tabela13[[#This Row],[Largura de copa (metros)]])</f>
        <v>4</v>
      </c>
      <c r="M72" t="str">
        <f>LEFT(Tabela13[[#This Row],[Largura de copa (metros)]],LEN(Tabela13[[#This Row],[Largura de copa (metros)]])-1)</f>
        <v>4-6</v>
      </c>
      <c r="N72" s="126" t="s">
        <v>969</v>
      </c>
      <c r="O72" s="126" t="str">
        <f>"="&amp;Tabela13[[#This Row],[Coluna1]]</f>
        <v>=4-6</v>
      </c>
      <c r="P72" s="126">
        <f>4+6</f>
        <v>10</v>
      </c>
      <c r="Q72" s="126">
        <f>Tabela13[[#This Row],[Coluna 23]]/2</f>
        <v>5</v>
      </c>
      <c r="R72" t="s">
        <v>519</v>
      </c>
      <c r="S72" t="s">
        <v>306</v>
      </c>
      <c r="T72" t="s">
        <v>291</v>
      </c>
      <c r="U72" t="s">
        <v>322</v>
      </c>
      <c r="V72" t="s">
        <v>363</v>
      </c>
      <c r="W72" t="s">
        <v>294</v>
      </c>
      <c r="X72" t="s">
        <v>309</v>
      </c>
      <c r="Y72" t="s">
        <v>325</v>
      </c>
      <c r="Z72" t="s">
        <v>584</v>
      </c>
      <c r="AA72" t="s">
        <v>297</v>
      </c>
      <c r="AB72" t="s">
        <v>299</v>
      </c>
      <c r="AC72" t="s">
        <v>299</v>
      </c>
    </row>
    <row r="73" spans="1:29">
      <c r="A73" s="117" t="s">
        <v>587</v>
      </c>
      <c r="B73" t="s">
        <v>588</v>
      </c>
      <c r="C73" s="117" t="s">
        <v>585</v>
      </c>
      <c r="D73" t="s">
        <v>433</v>
      </c>
      <c r="E73" t="s">
        <v>283</v>
      </c>
      <c r="F73" t="s">
        <v>57</v>
      </c>
      <c r="G73" t="s">
        <v>284</v>
      </c>
      <c r="H73" t="s">
        <v>285</v>
      </c>
      <c r="I73" t="s">
        <v>285</v>
      </c>
      <c r="J73" t="s">
        <v>304</v>
      </c>
      <c r="K73" t="s">
        <v>519</v>
      </c>
      <c r="L73">
        <f>LEN(Tabela13[[#This Row],[Largura de copa (metros)]])</f>
        <v>5</v>
      </c>
      <c r="M73" t="str">
        <f>LEFT(Tabela13[[#This Row],[Largura de copa (metros)]],LEN(Tabela13[[#This Row],[Largura de copa (metros)]])-1)</f>
        <v>8-15</v>
      </c>
      <c r="N73" s="126" t="s">
        <v>994</v>
      </c>
      <c r="O73" s="126" t="str">
        <f>"="&amp;Tabela13[[#This Row],[Coluna1]]</f>
        <v>=8-15</v>
      </c>
      <c r="P73" s="126">
        <f>8+15</f>
        <v>23</v>
      </c>
      <c r="Q73" s="126">
        <f>Tabela13[[#This Row],[Coluna 23]]/2</f>
        <v>11.5</v>
      </c>
      <c r="R73" t="s">
        <v>305</v>
      </c>
      <c r="S73" t="s">
        <v>306</v>
      </c>
      <c r="T73" t="s">
        <v>291</v>
      </c>
      <c r="U73" t="s">
        <v>307</v>
      </c>
      <c r="V73" t="s">
        <v>589</v>
      </c>
      <c r="W73" t="s">
        <v>294</v>
      </c>
      <c r="X73" t="s">
        <v>309</v>
      </c>
      <c r="Y73" t="s">
        <v>325</v>
      </c>
      <c r="Z73" t="s">
        <v>310</v>
      </c>
      <c r="AA73" t="s">
        <v>297</v>
      </c>
      <c r="AB73" t="s">
        <v>299</v>
      </c>
      <c r="AC73" t="s">
        <v>299</v>
      </c>
    </row>
    <row r="74" spans="1:29">
      <c r="A74" s="117" t="s">
        <v>590</v>
      </c>
      <c r="B74" t="s">
        <v>591</v>
      </c>
      <c r="C74" s="117" t="s">
        <v>592</v>
      </c>
      <c r="D74" t="s">
        <v>593</v>
      </c>
      <c r="E74" t="s">
        <v>283</v>
      </c>
      <c r="F74" t="s">
        <v>57</v>
      </c>
      <c r="G74" t="s">
        <v>284</v>
      </c>
      <c r="H74" t="s">
        <v>299</v>
      </c>
      <c r="I74" t="s">
        <v>299</v>
      </c>
      <c r="J74" t="s">
        <v>299</v>
      </c>
      <c r="K74" t="s">
        <v>594</v>
      </c>
      <c r="L74">
        <f>LEN(Tabela13[[#This Row],[Largura de copa (metros)]])</f>
        <v>2</v>
      </c>
      <c r="M74" t="str">
        <f>LEFT(Tabela13[[#This Row],[Largura de copa (metros)]],LEN(Tabela13[[#This Row],[Largura de copa (metros)]])-1)</f>
        <v>2</v>
      </c>
      <c r="N74" s="126" t="s">
        <v>995</v>
      </c>
      <c r="O74" s="126" t="str">
        <f>"="&amp;Tabela13[[#This Row],[Coluna1]]</f>
        <v>=2</v>
      </c>
      <c r="P74" s="126">
        <v>2</v>
      </c>
      <c r="Q74" s="126">
        <f>Tabela13[[#This Row],[Coluna 23]]/2</f>
        <v>1</v>
      </c>
      <c r="R74" t="s">
        <v>444</v>
      </c>
      <c r="S74" t="s">
        <v>594</v>
      </c>
      <c r="T74" t="s">
        <v>342</v>
      </c>
      <c r="U74" t="s">
        <v>307</v>
      </c>
      <c r="V74" t="s">
        <v>299</v>
      </c>
      <c r="W74" t="s">
        <v>299</v>
      </c>
      <c r="X74" t="s">
        <v>299</v>
      </c>
      <c r="Y74" t="s">
        <v>299</v>
      </c>
      <c r="Z74" t="s">
        <v>299</v>
      </c>
      <c r="AA74" t="s">
        <v>299</v>
      </c>
      <c r="AB74" t="s">
        <v>299</v>
      </c>
      <c r="AC74" t="s">
        <v>299</v>
      </c>
    </row>
    <row r="75" spans="1:29">
      <c r="A75" s="117" t="s">
        <v>595</v>
      </c>
      <c r="B75" t="s">
        <v>596</v>
      </c>
      <c r="C75" s="117" t="s">
        <v>597</v>
      </c>
      <c r="D75" t="s">
        <v>448</v>
      </c>
      <c r="E75" t="s">
        <v>283</v>
      </c>
      <c r="F75" t="s">
        <v>57</v>
      </c>
      <c r="G75" t="s">
        <v>319</v>
      </c>
      <c r="H75" t="s">
        <v>302</v>
      </c>
      <c r="I75" t="s">
        <v>286</v>
      </c>
      <c r="J75" t="s">
        <v>339</v>
      </c>
      <c r="K75" t="s">
        <v>402</v>
      </c>
      <c r="L75">
        <f>LEN(Tabela13[[#This Row],[Largura de copa (metros)]])</f>
        <v>6</v>
      </c>
      <c r="M75" t="str">
        <f>LEFT(Tabela13[[#This Row],[Largura de copa (metros)]],LEN(Tabela13[[#This Row],[Largura de copa (metros)]])-1)</f>
        <v>10-12</v>
      </c>
      <c r="N75" s="126" t="s">
        <v>996</v>
      </c>
      <c r="O75" s="126" t="str">
        <f>"="&amp;Tabela13[[#This Row],[Coluna1]]</f>
        <v>=10-12</v>
      </c>
      <c r="P75" s="126">
        <f>10+12</f>
        <v>22</v>
      </c>
      <c r="Q75" s="126">
        <f>Tabela13[[#This Row],[Coluna 23]]/2</f>
        <v>11</v>
      </c>
      <c r="R75" t="s">
        <v>471</v>
      </c>
      <c r="S75" t="s">
        <v>598</v>
      </c>
      <c r="T75" t="s">
        <v>291</v>
      </c>
      <c r="U75" t="s">
        <v>292</v>
      </c>
      <c r="V75" t="s">
        <v>363</v>
      </c>
      <c r="W75" t="s">
        <v>294</v>
      </c>
      <c r="X75" t="s">
        <v>309</v>
      </c>
      <c r="Y75" t="s">
        <v>294</v>
      </c>
      <c r="Z75" t="s">
        <v>296</v>
      </c>
      <c r="AA75" t="s">
        <v>324</v>
      </c>
      <c r="AB75" t="s">
        <v>298</v>
      </c>
      <c r="AC75" t="s">
        <v>299</v>
      </c>
    </row>
    <row r="76" spans="1:29">
      <c r="A76" s="117" t="s">
        <v>599</v>
      </c>
      <c r="B76" t="s">
        <v>299</v>
      </c>
      <c r="C76" s="117" t="s">
        <v>597</v>
      </c>
      <c r="D76" t="s">
        <v>448</v>
      </c>
      <c r="E76" t="s">
        <v>283</v>
      </c>
      <c r="F76" t="s">
        <v>57</v>
      </c>
      <c r="G76" t="s">
        <v>319</v>
      </c>
      <c r="H76" t="s">
        <v>285</v>
      </c>
      <c r="I76" t="s">
        <v>285</v>
      </c>
      <c r="J76" t="s">
        <v>600</v>
      </c>
      <c r="K76" t="s">
        <v>288</v>
      </c>
      <c r="L76">
        <f>LEN(Tabela13[[#This Row],[Largura de copa (metros)]])</f>
        <v>4</v>
      </c>
      <c r="M76" t="str">
        <f>LEFT(Tabela13[[#This Row],[Largura de copa (metros)]],LEN(Tabela13[[#This Row],[Largura de copa (metros)]])-1)</f>
        <v>6-8</v>
      </c>
      <c r="N76" s="126" t="s">
        <v>968</v>
      </c>
      <c r="O76" s="126" t="str">
        <f>"="&amp;Tabela13[[#This Row],[Coluna1]]</f>
        <v>=6-8</v>
      </c>
      <c r="P76" s="126">
        <f>6+8</f>
        <v>14</v>
      </c>
      <c r="Q76" s="126">
        <f>Tabela13[[#This Row],[Coluna 23]]/2</f>
        <v>7</v>
      </c>
      <c r="R76" t="s">
        <v>402</v>
      </c>
      <c r="S76" t="s">
        <v>290</v>
      </c>
      <c r="T76" t="s">
        <v>291</v>
      </c>
      <c r="U76" t="s">
        <v>322</v>
      </c>
      <c r="V76" t="s">
        <v>363</v>
      </c>
      <c r="W76" t="s">
        <v>294</v>
      </c>
      <c r="X76" t="s">
        <v>295</v>
      </c>
      <c r="Y76" t="s">
        <v>294</v>
      </c>
      <c r="Z76" t="s">
        <v>296</v>
      </c>
      <c r="AA76" t="s">
        <v>324</v>
      </c>
      <c r="AB76" t="s">
        <v>298</v>
      </c>
      <c r="AC76" t="s">
        <v>299</v>
      </c>
    </row>
    <row r="77" spans="1:29">
      <c r="A77" s="117" t="s">
        <v>601</v>
      </c>
      <c r="B77" t="s">
        <v>299</v>
      </c>
      <c r="C77" s="117" t="s">
        <v>597</v>
      </c>
      <c r="D77" t="s">
        <v>448</v>
      </c>
      <c r="E77" t="s">
        <v>283</v>
      </c>
      <c r="F77" t="s">
        <v>57</v>
      </c>
      <c r="G77" t="s">
        <v>319</v>
      </c>
      <c r="H77" t="s">
        <v>285</v>
      </c>
      <c r="I77" t="s">
        <v>285</v>
      </c>
      <c r="J77" t="s">
        <v>600</v>
      </c>
      <c r="K77" t="s">
        <v>288</v>
      </c>
      <c r="L77">
        <f>LEN(Tabela13[[#This Row],[Largura de copa (metros)]])</f>
        <v>4</v>
      </c>
      <c r="M77" t="str">
        <f>LEFT(Tabela13[[#This Row],[Largura de copa (metros)]],LEN(Tabela13[[#This Row],[Largura de copa (metros)]])-1)</f>
        <v>6-8</v>
      </c>
      <c r="N77" s="126" t="s">
        <v>968</v>
      </c>
      <c r="O77" s="126" t="str">
        <f>"="&amp;Tabela13[[#This Row],[Coluna1]]</f>
        <v>=6-8</v>
      </c>
      <c r="P77" s="126">
        <f>6+8</f>
        <v>14</v>
      </c>
      <c r="Q77" s="126">
        <f>Tabela13[[#This Row],[Coluna 23]]/2</f>
        <v>7</v>
      </c>
      <c r="R77" t="s">
        <v>402</v>
      </c>
      <c r="S77" t="s">
        <v>290</v>
      </c>
      <c r="T77" t="s">
        <v>291</v>
      </c>
      <c r="U77" t="s">
        <v>322</v>
      </c>
      <c r="V77" t="s">
        <v>363</v>
      </c>
      <c r="W77" t="s">
        <v>294</v>
      </c>
      <c r="X77" t="s">
        <v>295</v>
      </c>
      <c r="Y77" t="s">
        <v>294</v>
      </c>
      <c r="Z77" t="s">
        <v>296</v>
      </c>
      <c r="AA77" t="s">
        <v>324</v>
      </c>
      <c r="AB77" t="s">
        <v>298</v>
      </c>
      <c r="AC77" t="s">
        <v>299</v>
      </c>
    </row>
    <row r="78" spans="1:29">
      <c r="A78" s="117" t="s">
        <v>602</v>
      </c>
      <c r="B78" t="s">
        <v>299</v>
      </c>
      <c r="C78" s="117" t="s">
        <v>603</v>
      </c>
      <c r="D78" t="s">
        <v>604</v>
      </c>
      <c r="E78" t="s">
        <v>283</v>
      </c>
      <c r="F78" t="s">
        <v>57</v>
      </c>
      <c r="G78" t="s">
        <v>284</v>
      </c>
      <c r="H78" t="s">
        <v>468</v>
      </c>
      <c r="I78" t="s">
        <v>286</v>
      </c>
      <c r="J78" t="s">
        <v>416</v>
      </c>
      <c r="K78" t="s">
        <v>605</v>
      </c>
      <c r="L78">
        <f>LEN(Tabela13[[#This Row],[Largura de copa (metros)]])</f>
        <v>6</v>
      </c>
      <c r="M78" t="str">
        <f>LEFT(Tabela13[[#This Row],[Largura de copa (metros)]],LEN(Tabela13[[#This Row],[Largura de copa (metros)]])-1)</f>
        <v>18-20</v>
      </c>
      <c r="N78" s="126" t="s">
        <v>997</v>
      </c>
      <c r="O78" s="126" t="str">
        <f>"="&amp;Tabela13[[#This Row],[Coluna1]]</f>
        <v>=18-20</v>
      </c>
      <c r="P78" s="126">
        <f>18+20</f>
        <v>38</v>
      </c>
      <c r="Q78" s="126">
        <f>Tabela13[[#This Row],[Coluna 23]]/2</f>
        <v>19</v>
      </c>
      <c r="R78" t="s">
        <v>606</v>
      </c>
      <c r="S78" t="s">
        <v>607</v>
      </c>
      <c r="T78" t="s">
        <v>362</v>
      </c>
      <c r="U78" t="s">
        <v>292</v>
      </c>
      <c r="V78" t="s">
        <v>608</v>
      </c>
      <c r="W78" t="s">
        <v>294</v>
      </c>
      <c r="X78" t="s">
        <v>295</v>
      </c>
      <c r="Y78" t="s">
        <v>298</v>
      </c>
      <c r="Z78" t="s">
        <v>323</v>
      </c>
      <c r="AA78" t="s">
        <v>324</v>
      </c>
      <c r="AB78" t="s">
        <v>298</v>
      </c>
      <c r="AC78" t="s">
        <v>299</v>
      </c>
    </row>
    <row r="79" spans="1:29">
      <c r="A79" s="117" t="s">
        <v>609</v>
      </c>
      <c r="B79" t="s">
        <v>610</v>
      </c>
      <c r="C79" s="117" t="s">
        <v>603</v>
      </c>
      <c r="D79" t="s">
        <v>604</v>
      </c>
      <c r="E79" t="s">
        <v>611</v>
      </c>
      <c r="F79" t="s">
        <v>57</v>
      </c>
      <c r="G79" t="s">
        <v>319</v>
      </c>
      <c r="H79" t="s">
        <v>302</v>
      </c>
      <c r="I79" t="s">
        <v>286</v>
      </c>
      <c r="J79" t="s">
        <v>454</v>
      </c>
      <c r="K79" t="s">
        <v>305</v>
      </c>
      <c r="L79">
        <f>LEN(Tabela13[[#This Row],[Largura de copa (metros)]])</f>
        <v>4</v>
      </c>
      <c r="M79" t="str">
        <f>LEFT(Tabela13[[#This Row],[Largura de copa (metros)]],LEN(Tabela13[[#This Row],[Largura de copa (metros)]])-1)</f>
        <v>4-6</v>
      </c>
      <c r="N79" s="126" t="s">
        <v>969</v>
      </c>
      <c r="O79" s="126" t="str">
        <f>"="&amp;Tabela13[[#This Row],[Coluna1]]</f>
        <v>=4-6</v>
      </c>
      <c r="P79" s="126">
        <f>4+6</f>
        <v>10</v>
      </c>
      <c r="Q79" s="126">
        <f>Tabela13[[#This Row],[Coluna 23]]/2</f>
        <v>5</v>
      </c>
      <c r="R79" t="s">
        <v>288</v>
      </c>
      <c r="S79" t="s">
        <v>306</v>
      </c>
      <c r="T79" t="s">
        <v>291</v>
      </c>
      <c r="U79" t="s">
        <v>378</v>
      </c>
      <c r="V79" t="s">
        <v>408</v>
      </c>
      <c r="W79" t="s">
        <v>298</v>
      </c>
      <c r="X79" t="s">
        <v>309</v>
      </c>
      <c r="Y79" t="s">
        <v>298</v>
      </c>
      <c r="Z79" t="s">
        <v>310</v>
      </c>
      <c r="AA79" t="s">
        <v>311</v>
      </c>
      <c r="AB79" t="s">
        <v>294</v>
      </c>
      <c r="AC79" t="s">
        <v>396</v>
      </c>
    </row>
    <row r="80" spans="1:29">
      <c r="A80" s="117" t="s">
        <v>612</v>
      </c>
      <c r="B80" t="s">
        <v>613</v>
      </c>
      <c r="C80" s="117" t="s">
        <v>603</v>
      </c>
      <c r="D80" t="s">
        <v>604</v>
      </c>
      <c r="E80" t="s">
        <v>283</v>
      </c>
      <c r="F80" t="s">
        <v>57</v>
      </c>
      <c r="G80" t="s">
        <v>284</v>
      </c>
      <c r="H80" t="s">
        <v>302</v>
      </c>
      <c r="I80" t="s">
        <v>286</v>
      </c>
      <c r="J80" t="s">
        <v>320</v>
      </c>
      <c r="K80" t="s">
        <v>360</v>
      </c>
      <c r="L80">
        <f>LEN(Tabela13[[#This Row],[Largura de copa (metros)]])</f>
        <v>6</v>
      </c>
      <c r="M80" t="str">
        <f>LEFT(Tabela13[[#This Row],[Largura de copa (metros)]],LEN(Tabela13[[#This Row],[Largura de copa (metros)]])-1)</f>
        <v>15-20</v>
      </c>
      <c r="N80" s="126" t="s">
        <v>985</v>
      </c>
      <c r="O80" s="126" t="str">
        <f>"="&amp;Tabela13[[#This Row],[Coluna1]]</f>
        <v>=15-20</v>
      </c>
      <c r="P80" s="126">
        <f>15+20</f>
        <v>35</v>
      </c>
      <c r="Q80" s="126">
        <f>Tabela13[[#This Row],[Coluna 23]]/2</f>
        <v>17.5</v>
      </c>
      <c r="R80" t="s">
        <v>614</v>
      </c>
      <c r="S80" t="s">
        <v>455</v>
      </c>
      <c r="T80" t="s">
        <v>362</v>
      </c>
      <c r="U80" t="s">
        <v>292</v>
      </c>
      <c r="V80" t="s">
        <v>313</v>
      </c>
      <c r="W80" t="s">
        <v>294</v>
      </c>
      <c r="X80" t="s">
        <v>309</v>
      </c>
      <c r="Y80" t="s">
        <v>298</v>
      </c>
      <c r="Z80" t="s">
        <v>323</v>
      </c>
      <c r="AA80" t="s">
        <v>299</v>
      </c>
      <c r="AB80" t="s">
        <v>299</v>
      </c>
      <c r="AC80" t="s">
        <v>615</v>
      </c>
    </row>
    <row r="81" spans="1:29">
      <c r="A81" s="117" t="s">
        <v>616</v>
      </c>
      <c r="B81" t="s">
        <v>299</v>
      </c>
      <c r="C81" s="117" t="s">
        <v>617</v>
      </c>
      <c r="D81" t="s">
        <v>618</v>
      </c>
      <c r="E81" t="s">
        <v>283</v>
      </c>
      <c r="F81" t="s">
        <v>57</v>
      </c>
      <c r="G81" t="s">
        <v>319</v>
      </c>
      <c r="H81" t="s">
        <v>299</v>
      </c>
      <c r="I81" t="s">
        <v>286</v>
      </c>
      <c r="J81" t="s">
        <v>619</v>
      </c>
      <c r="K81" t="s">
        <v>328</v>
      </c>
      <c r="L81">
        <f>LEN(Tabela13[[#This Row],[Largura de copa (metros)]])</f>
        <v>6</v>
      </c>
      <c r="M81" t="str">
        <f>LEFT(Tabela13[[#This Row],[Largura de copa (metros)]],LEN(Tabela13[[#This Row],[Largura de copa (metros)]])-1)</f>
        <v>12-15</v>
      </c>
      <c r="N81" s="126" t="s">
        <v>984</v>
      </c>
      <c r="O81" s="126" t="str">
        <f>"="&amp;Tabela13[[#This Row],[Coluna1]]</f>
        <v>=12-15</v>
      </c>
      <c r="P81" s="126">
        <f>12+15</f>
        <v>27</v>
      </c>
      <c r="Q81" s="126">
        <f>Tabela13[[#This Row],[Coluna 23]]/2</f>
        <v>13.5</v>
      </c>
      <c r="R81" t="s">
        <v>354</v>
      </c>
      <c r="S81" t="s">
        <v>402</v>
      </c>
      <c r="T81" t="s">
        <v>362</v>
      </c>
      <c r="U81" t="s">
        <v>292</v>
      </c>
      <c r="V81" t="s">
        <v>299</v>
      </c>
      <c r="W81" t="s">
        <v>294</v>
      </c>
      <c r="X81" t="s">
        <v>309</v>
      </c>
      <c r="Y81" t="s">
        <v>294</v>
      </c>
      <c r="Z81" t="s">
        <v>299</v>
      </c>
      <c r="AA81" t="s">
        <v>299</v>
      </c>
      <c r="AB81" t="s">
        <v>325</v>
      </c>
      <c r="AC81" t="s">
        <v>385</v>
      </c>
    </row>
    <row r="82" spans="1:29">
      <c r="A82" s="117" t="s">
        <v>620</v>
      </c>
      <c r="B82" t="s">
        <v>621</v>
      </c>
      <c r="C82" s="117" t="s">
        <v>617</v>
      </c>
      <c r="D82" t="s">
        <v>618</v>
      </c>
      <c r="E82" t="s">
        <v>353</v>
      </c>
      <c r="F82" t="s">
        <v>57</v>
      </c>
      <c r="G82" t="s">
        <v>319</v>
      </c>
      <c r="H82" t="s">
        <v>302</v>
      </c>
      <c r="I82" t="s">
        <v>286</v>
      </c>
      <c r="J82" t="s">
        <v>304</v>
      </c>
      <c r="K82" t="s">
        <v>305</v>
      </c>
      <c r="L82">
        <f>LEN(Tabela13[[#This Row],[Largura de copa (metros)]])</f>
        <v>4</v>
      </c>
      <c r="M82" t="str">
        <f>LEFT(Tabela13[[#This Row],[Largura de copa (metros)]],LEN(Tabela13[[#This Row],[Largura de copa (metros)]])-1)</f>
        <v>4-6</v>
      </c>
      <c r="N82" s="126" t="s">
        <v>969</v>
      </c>
      <c r="O82" s="126" t="str">
        <f>"="&amp;Tabela13[[#This Row],[Coluna1]]</f>
        <v>=4-6</v>
      </c>
      <c r="P82" s="126">
        <f>4+6</f>
        <v>10</v>
      </c>
      <c r="Q82" s="126">
        <f>Tabela13[[#This Row],[Coluna 23]]/2</f>
        <v>5</v>
      </c>
      <c r="R82" t="s">
        <v>449</v>
      </c>
      <c r="S82" t="s">
        <v>306</v>
      </c>
      <c r="T82" t="s">
        <v>291</v>
      </c>
      <c r="U82" t="s">
        <v>292</v>
      </c>
      <c r="V82" t="s">
        <v>363</v>
      </c>
      <c r="W82" t="s">
        <v>294</v>
      </c>
      <c r="X82" t="s">
        <v>295</v>
      </c>
      <c r="Y82" t="s">
        <v>294</v>
      </c>
      <c r="Z82" t="s">
        <v>323</v>
      </c>
      <c r="AA82" t="s">
        <v>311</v>
      </c>
      <c r="AB82" t="s">
        <v>294</v>
      </c>
      <c r="AC82" t="s">
        <v>385</v>
      </c>
    </row>
    <row r="83" spans="1:29">
      <c r="A83" s="117" t="s">
        <v>622</v>
      </c>
      <c r="B83" t="s">
        <v>623</v>
      </c>
      <c r="C83" s="117" t="s">
        <v>617</v>
      </c>
      <c r="D83" t="s">
        <v>618</v>
      </c>
      <c r="E83" t="s">
        <v>283</v>
      </c>
      <c r="F83" t="s">
        <v>57</v>
      </c>
      <c r="G83" t="s">
        <v>319</v>
      </c>
      <c r="H83" t="s">
        <v>302</v>
      </c>
      <c r="I83" t="s">
        <v>286</v>
      </c>
      <c r="J83" t="s">
        <v>304</v>
      </c>
      <c r="K83" t="s">
        <v>305</v>
      </c>
      <c r="L83">
        <f>LEN(Tabela13[[#This Row],[Largura de copa (metros)]])</f>
        <v>4</v>
      </c>
      <c r="M83" t="str">
        <f>LEFT(Tabela13[[#This Row],[Largura de copa (metros)]],LEN(Tabela13[[#This Row],[Largura de copa (metros)]])-1)</f>
        <v>4-6</v>
      </c>
      <c r="N83" s="126" t="s">
        <v>969</v>
      </c>
      <c r="O83" s="126" t="str">
        <f>"="&amp;Tabela13[[#This Row],[Coluna1]]</f>
        <v>=4-6</v>
      </c>
      <c r="P83" s="126">
        <f>4+6</f>
        <v>10</v>
      </c>
      <c r="Q83" s="126">
        <f>Tabela13[[#This Row],[Coluna 23]]/2</f>
        <v>5</v>
      </c>
      <c r="R83" t="s">
        <v>347</v>
      </c>
      <c r="S83" t="s">
        <v>306</v>
      </c>
      <c r="T83" t="s">
        <v>291</v>
      </c>
      <c r="U83" t="s">
        <v>292</v>
      </c>
      <c r="V83" t="s">
        <v>363</v>
      </c>
      <c r="W83" t="s">
        <v>294</v>
      </c>
      <c r="X83" t="s">
        <v>295</v>
      </c>
      <c r="Y83" t="s">
        <v>294</v>
      </c>
      <c r="Z83" t="s">
        <v>296</v>
      </c>
      <c r="AA83" t="s">
        <v>311</v>
      </c>
      <c r="AB83" t="s">
        <v>298</v>
      </c>
      <c r="AC83" t="s">
        <v>385</v>
      </c>
    </row>
    <row r="84" spans="1:29">
      <c r="A84" s="117" t="s">
        <v>624</v>
      </c>
      <c r="B84" t="s">
        <v>625</v>
      </c>
      <c r="C84" s="117" t="s">
        <v>617</v>
      </c>
      <c r="D84" t="s">
        <v>618</v>
      </c>
      <c r="E84" t="s">
        <v>283</v>
      </c>
      <c r="F84" t="s">
        <v>57</v>
      </c>
      <c r="G84" t="s">
        <v>319</v>
      </c>
      <c r="H84" t="s">
        <v>468</v>
      </c>
      <c r="I84" t="s">
        <v>285</v>
      </c>
      <c r="J84" t="s">
        <v>320</v>
      </c>
      <c r="K84" t="s">
        <v>305</v>
      </c>
      <c r="L84">
        <f>LEN(Tabela13[[#This Row],[Largura de copa (metros)]])</f>
        <v>4</v>
      </c>
      <c r="M84" t="str">
        <f>LEFT(Tabela13[[#This Row],[Largura de copa (metros)]],LEN(Tabela13[[#This Row],[Largura de copa (metros)]])-1)</f>
        <v>4-6</v>
      </c>
      <c r="N84" s="126" t="s">
        <v>969</v>
      </c>
      <c r="O84" s="126" t="str">
        <f>"="&amp;Tabela13[[#This Row],[Coluna1]]</f>
        <v>=4-6</v>
      </c>
      <c r="P84" s="126">
        <f>4+6</f>
        <v>10</v>
      </c>
      <c r="Q84" s="126">
        <f>Tabela13[[#This Row],[Coluna 23]]/2</f>
        <v>5</v>
      </c>
      <c r="R84" t="s">
        <v>626</v>
      </c>
      <c r="S84" t="s">
        <v>306</v>
      </c>
      <c r="T84" t="s">
        <v>291</v>
      </c>
      <c r="U84" t="s">
        <v>322</v>
      </c>
      <c r="V84" t="s">
        <v>363</v>
      </c>
      <c r="W84" t="s">
        <v>294</v>
      </c>
      <c r="X84" t="s">
        <v>309</v>
      </c>
      <c r="Y84" t="s">
        <v>294</v>
      </c>
      <c r="Z84" t="s">
        <v>296</v>
      </c>
      <c r="AA84" t="s">
        <v>311</v>
      </c>
      <c r="AB84" t="s">
        <v>294</v>
      </c>
      <c r="AC84" t="s">
        <v>385</v>
      </c>
    </row>
    <row r="85" spans="1:29">
      <c r="A85" s="117" t="s">
        <v>627</v>
      </c>
      <c r="B85" t="s">
        <v>628</v>
      </c>
      <c r="C85" s="117" t="s">
        <v>629</v>
      </c>
      <c r="D85" t="s">
        <v>630</v>
      </c>
      <c r="E85" t="s">
        <v>283</v>
      </c>
      <c r="F85" t="s">
        <v>57</v>
      </c>
      <c r="G85" t="s">
        <v>319</v>
      </c>
      <c r="H85" t="s">
        <v>285</v>
      </c>
      <c r="I85" t="s">
        <v>286</v>
      </c>
      <c r="J85" t="s">
        <v>631</v>
      </c>
      <c r="K85" t="s">
        <v>305</v>
      </c>
      <c r="L85">
        <f>LEN(Tabela13[[#This Row],[Largura de copa (metros)]])</f>
        <v>4</v>
      </c>
      <c r="M85" t="str">
        <f>LEFT(Tabela13[[#This Row],[Largura de copa (metros)]],LEN(Tabela13[[#This Row],[Largura de copa (metros)]])-1)</f>
        <v>4-6</v>
      </c>
      <c r="N85" s="126" t="s">
        <v>969</v>
      </c>
      <c r="O85" s="126" t="str">
        <f>"="&amp;Tabela13[[#This Row],[Coluna1]]</f>
        <v>=4-6</v>
      </c>
      <c r="P85" s="126">
        <f>4+6</f>
        <v>10</v>
      </c>
      <c r="Q85" s="126">
        <f>Tabela13[[#This Row],[Coluna 23]]/2</f>
        <v>5</v>
      </c>
      <c r="R85" t="s">
        <v>371</v>
      </c>
      <c r="S85" t="s">
        <v>306</v>
      </c>
      <c r="T85" t="s">
        <v>291</v>
      </c>
      <c r="U85" t="s">
        <v>292</v>
      </c>
      <c r="V85" t="s">
        <v>293</v>
      </c>
      <c r="W85" t="s">
        <v>294</v>
      </c>
      <c r="X85" t="s">
        <v>295</v>
      </c>
      <c r="Y85" t="s">
        <v>325</v>
      </c>
      <c r="Z85" t="s">
        <v>323</v>
      </c>
      <c r="AA85" t="s">
        <v>297</v>
      </c>
      <c r="AB85" t="s">
        <v>294</v>
      </c>
      <c r="AC85" t="s">
        <v>385</v>
      </c>
    </row>
    <row r="86" spans="1:29">
      <c r="A86" s="117" t="s">
        <v>634</v>
      </c>
      <c r="B86" t="s">
        <v>632</v>
      </c>
      <c r="C86" s="117" t="s">
        <v>633</v>
      </c>
      <c r="D86" t="s">
        <v>301</v>
      </c>
      <c r="E86" t="s">
        <v>283</v>
      </c>
      <c r="F86" t="s">
        <v>57</v>
      </c>
      <c r="G86" t="s">
        <v>319</v>
      </c>
      <c r="H86" t="s">
        <v>285</v>
      </c>
      <c r="I86" t="s">
        <v>299</v>
      </c>
      <c r="J86" t="s">
        <v>304</v>
      </c>
      <c r="K86" t="s">
        <v>635</v>
      </c>
      <c r="L86">
        <f>LEN(Tabela13[[#This Row],[Largura de copa (metros)]])</f>
        <v>4</v>
      </c>
      <c r="M86" t="str">
        <f>LEFT(Tabela13[[#This Row],[Largura de copa (metros)]],LEN(Tabela13[[#This Row],[Largura de copa (metros)]])-1)</f>
        <v>6-7</v>
      </c>
      <c r="N86" s="126" t="s">
        <v>998</v>
      </c>
      <c r="O86" s="126" t="str">
        <f>"="&amp;Tabela13[[#This Row],[Coluna1]]</f>
        <v>=6-7</v>
      </c>
      <c r="P86" s="126">
        <f>6+7</f>
        <v>13</v>
      </c>
      <c r="Q86" s="126">
        <f>Tabela13[[#This Row],[Coluna 23]]/2</f>
        <v>6.5</v>
      </c>
      <c r="R86" t="s">
        <v>321</v>
      </c>
      <c r="S86" t="s">
        <v>290</v>
      </c>
      <c r="T86" t="s">
        <v>291</v>
      </c>
      <c r="U86" t="s">
        <v>322</v>
      </c>
      <c r="V86" t="s">
        <v>363</v>
      </c>
      <c r="W86" t="s">
        <v>294</v>
      </c>
      <c r="X86" t="s">
        <v>309</v>
      </c>
      <c r="Y86" t="s">
        <v>325</v>
      </c>
      <c r="Z86" t="s">
        <v>310</v>
      </c>
      <c r="AA86" t="s">
        <v>311</v>
      </c>
      <c r="AB86" t="s">
        <v>294</v>
      </c>
      <c r="AC86" t="s">
        <v>314</v>
      </c>
    </row>
    <row r="87" spans="1:29">
      <c r="A87" s="117" t="s">
        <v>636</v>
      </c>
      <c r="B87" t="s">
        <v>637</v>
      </c>
      <c r="C87" s="117" t="s">
        <v>638</v>
      </c>
      <c r="D87" t="s">
        <v>400</v>
      </c>
      <c r="E87" t="s">
        <v>283</v>
      </c>
      <c r="F87" t="s">
        <v>57</v>
      </c>
      <c r="G87" t="s">
        <v>284</v>
      </c>
      <c r="H87" t="s">
        <v>302</v>
      </c>
      <c r="I87" t="s">
        <v>286</v>
      </c>
      <c r="J87" t="s">
        <v>304</v>
      </c>
      <c r="K87" t="s">
        <v>288</v>
      </c>
      <c r="L87">
        <f>LEN(Tabela13[[#This Row],[Largura de copa (metros)]])</f>
        <v>4</v>
      </c>
      <c r="M87" t="str">
        <f>LEFT(Tabela13[[#This Row],[Largura de copa (metros)]],LEN(Tabela13[[#This Row],[Largura de copa (metros)]])-1)</f>
        <v>6-8</v>
      </c>
      <c r="N87" s="126" t="s">
        <v>968</v>
      </c>
      <c r="O87" s="126" t="str">
        <f>"="&amp;Tabela13[[#This Row],[Coluna1]]</f>
        <v>=6-8</v>
      </c>
      <c r="P87" s="126">
        <f>6+8</f>
        <v>14</v>
      </c>
      <c r="Q87" s="126">
        <f>Tabela13[[#This Row],[Coluna 23]]/2</f>
        <v>7</v>
      </c>
      <c r="R87" t="s">
        <v>559</v>
      </c>
      <c r="S87" t="s">
        <v>290</v>
      </c>
      <c r="T87" t="s">
        <v>291</v>
      </c>
      <c r="U87" s="121" t="s">
        <v>292</v>
      </c>
      <c r="V87" t="s">
        <v>639</v>
      </c>
      <c r="W87" t="s">
        <v>294</v>
      </c>
      <c r="X87" t="s">
        <v>309</v>
      </c>
      <c r="Y87" t="s">
        <v>294</v>
      </c>
      <c r="Z87" t="s">
        <v>323</v>
      </c>
      <c r="AA87" t="s">
        <v>299</v>
      </c>
      <c r="AB87" t="s">
        <v>299</v>
      </c>
      <c r="AC87" t="s">
        <v>299</v>
      </c>
    </row>
    <row r="88" spans="1:29">
      <c r="A88" s="117" t="s">
        <v>641</v>
      </c>
      <c r="B88" t="s">
        <v>642</v>
      </c>
      <c r="C88" s="117" t="s">
        <v>640</v>
      </c>
      <c r="D88" t="s">
        <v>423</v>
      </c>
      <c r="E88" t="s">
        <v>283</v>
      </c>
      <c r="F88" t="s">
        <v>57</v>
      </c>
      <c r="G88" t="s">
        <v>319</v>
      </c>
      <c r="H88" t="s">
        <v>299</v>
      </c>
      <c r="I88" t="s">
        <v>303</v>
      </c>
      <c r="J88" t="s">
        <v>643</v>
      </c>
      <c r="K88" t="s">
        <v>548</v>
      </c>
      <c r="L88">
        <f>LEN(Tabela13[[#This Row],[Largura de copa (metros)]])</f>
        <v>4</v>
      </c>
      <c r="M88" t="str">
        <f>LEFT(Tabela13[[#This Row],[Largura de copa (metros)]],LEN(Tabela13[[#This Row],[Largura de copa (metros)]])-1)</f>
        <v>1-2</v>
      </c>
      <c r="N88" s="126" t="s">
        <v>991</v>
      </c>
      <c r="O88" s="126" t="str">
        <f>"="&amp;Tabela13[[#This Row],[Coluna1]]</f>
        <v>=1-2</v>
      </c>
      <c r="P88" s="126">
        <f>1+2</f>
        <v>3</v>
      </c>
      <c r="Q88" s="126">
        <f>Tabela13[[#This Row],[Coluna 23]]/2</f>
        <v>1.5</v>
      </c>
      <c r="R88" t="s">
        <v>336</v>
      </c>
      <c r="S88" t="s">
        <v>548</v>
      </c>
      <c r="T88" t="s">
        <v>342</v>
      </c>
      <c r="U88" t="s">
        <v>307</v>
      </c>
      <c r="V88" t="s">
        <v>299</v>
      </c>
      <c r="W88" t="s">
        <v>299</v>
      </c>
      <c r="X88" t="s">
        <v>309</v>
      </c>
      <c r="Y88" t="s">
        <v>298</v>
      </c>
      <c r="Z88" t="s">
        <v>323</v>
      </c>
      <c r="AA88" t="s">
        <v>299</v>
      </c>
      <c r="AB88" t="s">
        <v>325</v>
      </c>
      <c r="AC88" t="s">
        <v>299</v>
      </c>
    </row>
    <row r="89" spans="1:29">
      <c r="A89" s="117" t="s">
        <v>644</v>
      </c>
      <c r="B89" t="s">
        <v>642</v>
      </c>
      <c r="C89" s="117" t="s">
        <v>640</v>
      </c>
      <c r="D89" t="s">
        <v>423</v>
      </c>
      <c r="E89" t="s">
        <v>283</v>
      </c>
      <c r="F89" t="s">
        <v>57</v>
      </c>
      <c r="G89" t="s">
        <v>319</v>
      </c>
      <c r="H89" t="s">
        <v>299</v>
      </c>
      <c r="I89" t="s">
        <v>303</v>
      </c>
      <c r="J89" t="s">
        <v>643</v>
      </c>
      <c r="K89" t="s">
        <v>548</v>
      </c>
      <c r="L89">
        <f>LEN(Tabela13[[#This Row],[Largura de copa (metros)]])</f>
        <v>4</v>
      </c>
      <c r="M89" t="str">
        <f>LEFT(Tabela13[[#This Row],[Largura de copa (metros)]],LEN(Tabela13[[#This Row],[Largura de copa (metros)]])-1)</f>
        <v>1-2</v>
      </c>
      <c r="N89" s="126" t="s">
        <v>991</v>
      </c>
      <c r="O89" s="126" t="str">
        <f>"="&amp;Tabela13[[#This Row],[Coluna1]]</f>
        <v>=1-2</v>
      </c>
      <c r="P89" s="126">
        <f>1+2</f>
        <v>3</v>
      </c>
      <c r="Q89" s="126">
        <f>Tabela13[[#This Row],[Coluna 23]]/2</f>
        <v>1.5</v>
      </c>
      <c r="R89" t="s">
        <v>336</v>
      </c>
      <c r="S89" t="s">
        <v>548</v>
      </c>
      <c r="T89" t="s">
        <v>342</v>
      </c>
      <c r="U89" t="s">
        <v>307</v>
      </c>
      <c r="V89" t="s">
        <v>299</v>
      </c>
      <c r="W89" t="s">
        <v>299</v>
      </c>
      <c r="X89" t="s">
        <v>309</v>
      </c>
      <c r="Y89" t="s">
        <v>298</v>
      </c>
      <c r="Z89" t="s">
        <v>323</v>
      </c>
      <c r="AA89" t="s">
        <v>299</v>
      </c>
      <c r="AB89" t="s">
        <v>299</v>
      </c>
      <c r="AC89" t="s">
        <v>299</v>
      </c>
    </row>
    <row r="90" spans="1:29">
      <c r="A90" s="117" t="s">
        <v>645</v>
      </c>
      <c r="B90" t="s">
        <v>646</v>
      </c>
      <c r="C90" s="117" t="s">
        <v>647</v>
      </c>
      <c r="D90" t="s">
        <v>648</v>
      </c>
      <c r="E90" t="s">
        <v>353</v>
      </c>
      <c r="F90" t="s">
        <v>57</v>
      </c>
      <c r="G90" t="s">
        <v>284</v>
      </c>
      <c r="H90" t="s">
        <v>468</v>
      </c>
      <c r="I90" t="s">
        <v>285</v>
      </c>
      <c r="J90" t="s">
        <v>424</v>
      </c>
      <c r="K90" t="s">
        <v>336</v>
      </c>
      <c r="L90">
        <f>LEN(Tabela13[[#This Row],[Largura de copa (metros)]])</f>
        <v>4</v>
      </c>
      <c r="M90" t="str">
        <f>LEFT(Tabela13[[#This Row],[Largura de copa (metros)]],LEN(Tabela13[[#This Row],[Largura de copa (metros)]])-1)</f>
        <v>2-4</v>
      </c>
      <c r="N90" s="126" t="s">
        <v>972</v>
      </c>
      <c r="O90" s="126" t="str">
        <f>"="&amp;Tabela13[[#This Row],[Coluna1]]</f>
        <v>=2-4</v>
      </c>
      <c r="P90" s="126">
        <f>2+4</f>
        <v>6</v>
      </c>
      <c r="Q90" s="126">
        <f>Tabela13[[#This Row],[Coluna 23]]/2</f>
        <v>3</v>
      </c>
      <c r="R90" t="s">
        <v>346</v>
      </c>
      <c r="S90" t="s">
        <v>336</v>
      </c>
      <c r="T90" t="s">
        <v>342</v>
      </c>
      <c r="U90" t="s">
        <v>322</v>
      </c>
      <c r="V90" t="s">
        <v>293</v>
      </c>
      <c r="W90" t="s">
        <v>294</v>
      </c>
      <c r="X90" t="s">
        <v>309</v>
      </c>
      <c r="Y90" t="s">
        <v>294</v>
      </c>
      <c r="Z90" t="s">
        <v>649</v>
      </c>
      <c r="AA90" t="s">
        <v>324</v>
      </c>
      <c r="AB90" t="s">
        <v>298</v>
      </c>
      <c r="AC90" t="s">
        <v>299</v>
      </c>
    </row>
    <row r="91" spans="1:29">
      <c r="A91" s="117" t="s">
        <v>650</v>
      </c>
      <c r="B91" t="s">
        <v>651</v>
      </c>
      <c r="C91" s="117" t="s">
        <v>652</v>
      </c>
      <c r="D91" t="s">
        <v>463</v>
      </c>
      <c r="E91" t="s">
        <v>283</v>
      </c>
      <c r="F91" t="s">
        <v>57</v>
      </c>
      <c r="G91" t="s">
        <v>319</v>
      </c>
      <c r="H91" t="s">
        <v>285</v>
      </c>
      <c r="I91" t="s">
        <v>285</v>
      </c>
      <c r="J91" t="s">
        <v>312</v>
      </c>
      <c r="K91" t="s">
        <v>305</v>
      </c>
      <c r="L91">
        <f>LEN(Tabela13[[#This Row],[Largura de copa (metros)]])</f>
        <v>4</v>
      </c>
      <c r="M91" t="str">
        <f>LEFT(Tabela13[[#This Row],[Largura de copa (metros)]],LEN(Tabela13[[#This Row],[Largura de copa (metros)]])-1)</f>
        <v>4-6</v>
      </c>
      <c r="N91" s="126" t="s">
        <v>969</v>
      </c>
      <c r="O91" s="126" t="str">
        <f>"="&amp;Tabela13[[#This Row],[Coluna1]]</f>
        <v>=4-6</v>
      </c>
      <c r="P91" s="126">
        <f>4+6</f>
        <v>10</v>
      </c>
      <c r="Q91" s="126">
        <f>Tabela13[[#This Row],[Coluna 23]]/2</f>
        <v>5</v>
      </c>
      <c r="R91" t="s">
        <v>372</v>
      </c>
      <c r="S91" t="s">
        <v>306</v>
      </c>
      <c r="T91" t="s">
        <v>291</v>
      </c>
      <c r="U91" t="s">
        <v>378</v>
      </c>
      <c r="V91" t="s">
        <v>308</v>
      </c>
      <c r="W91" t="s">
        <v>294</v>
      </c>
      <c r="X91" t="s">
        <v>309</v>
      </c>
      <c r="Y91" t="s">
        <v>298</v>
      </c>
      <c r="Z91" t="s">
        <v>323</v>
      </c>
      <c r="AA91" t="s">
        <v>311</v>
      </c>
      <c r="AB91" t="s">
        <v>299</v>
      </c>
      <c r="AC91" t="s">
        <v>299</v>
      </c>
    </row>
    <row r="92" spans="1:29">
      <c r="A92" s="117" t="s">
        <v>653</v>
      </c>
      <c r="B92" t="s">
        <v>654</v>
      </c>
      <c r="C92" s="117" t="s">
        <v>655</v>
      </c>
      <c r="D92" t="s">
        <v>656</v>
      </c>
      <c r="E92" t="s">
        <v>283</v>
      </c>
      <c r="F92" t="s">
        <v>57</v>
      </c>
      <c r="G92" t="s">
        <v>319</v>
      </c>
      <c r="H92" t="s">
        <v>302</v>
      </c>
      <c r="I92" t="s">
        <v>286</v>
      </c>
      <c r="J92" t="s">
        <v>304</v>
      </c>
      <c r="K92" t="s">
        <v>372</v>
      </c>
      <c r="L92">
        <f>LEN(Tabela13[[#This Row],[Largura de copa (metros)]])</f>
        <v>5</v>
      </c>
      <c r="M92" t="str">
        <f>LEFT(Tabela13[[#This Row],[Largura de copa (metros)]],LEN(Tabela13[[#This Row],[Largura de copa (metros)]])-1)</f>
        <v>6-10</v>
      </c>
      <c r="N92" s="126" t="s">
        <v>980</v>
      </c>
      <c r="O92" s="126" t="str">
        <f>"="&amp;Tabela13[[#This Row],[Coluna1]]</f>
        <v>=6-10</v>
      </c>
      <c r="P92" s="126">
        <f>6+10</f>
        <v>16</v>
      </c>
      <c r="Q92" s="126">
        <f>Tabela13[[#This Row],[Coluna 23]]/2</f>
        <v>8</v>
      </c>
      <c r="R92" t="s">
        <v>347</v>
      </c>
      <c r="S92" t="s">
        <v>327</v>
      </c>
      <c r="T92" t="s">
        <v>291</v>
      </c>
      <c r="U92" t="s">
        <v>292</v>
      </c>
      <c r="V92" t="s">
        <v>293</v>
      </c>
      <c r="W92" t="s">
        <v>294</v>
      </c>
      <c r="X92" t="s">
        <v>295</v>
      </c>
      <c r="Y92" t="s">
        <v>298</v>
      </c>
      <c r="Z92" t="s">
        <v>310</v>
      </c>
      <c r="AA92" t="s">
        <v>297</v>
      </c>
      <c r="AB92" t="s">
        <v>298</v>
      </c>
      <c r="AC92" t="s">
        <v>299</v>
      </c>
    </row>
    <row r="93" spans="1:29">
      <c r="A93" s="117" t="s">
        <v>657</v>
      </c>
      <c r="B93" t="s">
        <v>658</v>
      </c>
      <c r="C93" s="117" t="s">
        <v>659</v>
      </c>
      <c r="D93" t="s">
        <v>492</v>
      </c>
      <c r="E93" t="s">
        <v>283</v>
      </c>
      <c r="F93" t="s">
        <v>57</v>
      </c>
      <c r="G93" t="s">
        <v>284</v>
      </c>
      <c r="H93" t="s">
        <v>468</v>
      </c>
      <c r="I93" t="s">
        <v>286</v>
      </c>
      <c r="J93" t="s">
        <v>287</v>
      </c>
      <c r="K93" t="s">
        <v>336</v>
      </c>
      <c r="L93">
        <f>LEN(Tabela13[[#This Row],[Largura de copa (metros)]])</f>
        <v>4</v>
      </c>
      <c r="M93" t="str">
        <f>LEFT(Tabela13[[#This Row],[Largura de copa (metros)]],LEN(Tabela13[[#This Row],[Largura de copa (metros)]])-1)</f>
        <v>2-4</v>
      </c>
      <c r="N93" s="126" t="s">
        <v>972</v>
      </c>
      <c r="O93" s="126" t="str">
        <f>"="&amp;Tabela13[[#This Row],[Coluna1]]</f>
        <v>=2-4</v>
      </c>
      <c r="P93" s="126">
        <f>2+4</f>
        <v>6</v>
      </c>
      <c r="Q93" s="126">
        <f>Tabela13[[#This Row],[Coluna 23]]/2</f>
        <v>3</v>
      </c>
      <c r="R93" t="s">
        <v>360</v>
      </c>
      <c r="S93" t="s">
        <v>336</v>
      </c>
      <c r="T93" t="s">
        <v>342</v>
      </c>
      <c r="U93" t="s">
        <v>292</v>
      </c>
      <c r="V93" t="s">
        <v>363</v>
      </c>
      <c r="W93" t="s">
        <v>294</v>
      </c>
      <c r="X93" t="s">
        <v>295</v>
      </c>
      <c r="Y93" t="s">
        <v>294</v>
      </c>
      <c r="Z93" t="s">
        <v>323</v>
      </c>
      <c r="AA93" t="s">
        <v>324</v>
      </c>
      <c r="AB93" t="s">
        <v>298</v>
      </c>
      <c r="AC93" t="s">
        <v>299</v>
      </c>
    </row>
    <row r="94" spans="1:29">
      <c r="A94" s="117" t="s">
        <v>660</v>
      </c>
      <c r="B94" t="s">
        <v>661</v>
      </c>
      <c r="C94" s="117" t="s">
        <v>659</v>
      </c>
      <c r="D94" t="s">
        <v>492</v>
      </c>
      <c r="E94" t="s">
        <v>353</v>
      </c>
      <c r="F94" t="s">
        <v>57</v>
      </c>
      <c r="G94" t="s">
        <v>284</v>
      </c>
      <c r="H94" t="s">
        <v>468</v>
      </c>
      <c r="I94" t="s">
        <v>303</v>
      </c>
      <c r="J94" t="s">
        <v>339</v>
      </c>
      <c r="K94" t="s">
        <v>403</v>
      </c>
      <c r="L94">
        <f>LEN(Tabela13[[#This Row],[Largura de copa (metros)]])</f>
        <v>4</v>
      </c>
      <c r="M94" t="str">
        <f>LEFT(Tabela13[[#This Row],[Largura de copa (metros)]],LEN(Tabela13[[#This Row],[Largura de copa (metros)]])-1)</f>
        <v>2-6</v>
      </c>
      <c r="N94" s="126" t="s">
        <v>999</v>
      </c>
      <c r="O94" s="126" t="str">
        <f>"="&amp;Tabela13[[#This Row],[Coluna1]]</f>
        <v>=2-6</v>
      </c>
      <c r="P94" s="126">
        <f>2+6</f>
        <v>8</v>
      </c>
      <c r="Q94" s="126">
        <f>Tabela13[[#This Row],[Coluna 23]]/2</f>
        <v>4</v>
      </c>
      <c r="R94" t="s">
        <v>327</v>
      </c>
      <c r="S94" t="s">
        <v>577</v>
      </c>
      <c r="T94" t="s">
        <v>291</v>
      </c>
      <c r="U94" t="s">
        <v>378</v>
      </c>
      <c r="V94" t="s">
        <v>363</v>
      </c>
      <c r="W94" t="s">
        <v>294</v>
      </c>
      <c r="X94" t="s">
        <v>309</v>
      </c>
      <c r="Y94" t="s">
        <v>294</v>
      </c>
      <c r="Z94" t="s">
        <v>323</v>
      </c>
      <c r="AA94" t="s">
        <v>324</v>
      </c>
      <c r="AB94" t="s">
        <v>298</v>
      </c>
      <c r="AC94" t="s">
        <v>299</v>
      </c>
    </row>
    <row r="95" spans="1:29">
      <c r="A95" s="117" t="s">
        <v>662</v>
      </c>
      <c r="B95" t="s">
        <v>663</v>
      </c>
      <c r="C95" s="117" t="s">
        <v>659</v>
      </c>
      <c r="D95" t="s">
        <v>492</v>
      </c>
      <c r="E95" t="s">
        <v>353</v>
      </c>
      <c r="F95" t="s">
        <v>57</v>
      </c>
      <c r="G95" t="s">
        <v>284</v>
      </c>
      <c r="H95" t="s">
        <v>468</v>
      </c>
      <c r="I95" t="s">
        <v>303</v>
      </c>
      <c r="J95" t="s">
        <v>287</v>
      </c>
      <c r="K95" t="s">
        <v>340</v>
      </c>
      <c r="L95">
        <f>LEN(Tabela13[[#This Row],[Largura de copa (metros)]])</f>
        <v>4</v>
      </c>
      <c r="M95" t="str">
        <f>LEFT(Tabela13[[#This Row],[Largura de copa (metros)]],LEN(Tabela13[[#This Row],[Largura de copa (metros)]])-1)</f>
        <v>2-3</v>
      </c>
      <c r="N95" s="126" t="s">
        <v>973</v>
      </c>
      <c r="O95" s="126" t="str">
        <f>"="&amp;Tabela13[[#This Row],[Coluna1]]</f>
        <v>=2-3</v>
      </c>
      <c r="P95" s="126">
        <f>2+3</f>
        <v>5</v>
      </c>
      <c r="Q95" s="126">
        <f>Tabela13[[#This Row],[Coluna 23]]/2</f>
        <v>2.5</v>
      </c>
      <c r="R95" t="s">
        <v>341</v>
      </c>
      <c r="S95" t="s">
        <v>340</v>
      </c>
      <c r="T95" t="s">
        <v>342</v>
      </c>
      <c r="U95" t="s">
        <v>307</v>
      </c>
      <c r="V95" t="s">
        <v>363</v>
      </c>
      <c r="W95" t="s">
        <v>294</v>
      </c>
      <c r="X95" t="s">
        <v>390</v>
      </c>
      <c r="Y95" t="s">
        <v>294</v>
      </c>
      <c r="Z95" t="s">
        <v>323</v>
      </c>
      <c r="AA95" t="s">
        <v>324</v>
      </c>
      <c r="AB95" t="s">
        <v>298</v>
      </c>
      <c r="AC95" t="s">
        <v>299</v>
      </c>
    </row>
    <row r="96" spans="1:29">
      <c r="A96" s="117" t="s">
        <v>664</v>
      </c>
      <c r="B96" t="s">
        <v>665</v>
      </c>
      <c r="C96" s="117" t="s">
        <v>666</v>
      </c>
      <c r="D96" t="s">
        <v>667</v>
      </c>
      <c r="E96" t="s">
        <v>283</v>
      </c>
      <c r="F96" t="s">
        <v>57</v>
      </c>
      <c r="G96" t="s">
        <v>319</v>
      </c>
      <c r="H96" t="s">
        <v>302</v>
      </c>
      <c r="I96" t="s">
        <v>303</v>
      </c>
      <c r="J96" t="s">
        <v>304</v>
      </c>
      <c r="K96" t="s">
        <v>340</v>
      </c>
      <c r="L96">
        <f>LEN(Tabela13[[#This Row],[Largura de copa (metros)]])</f>
        <v>4</v>
      </c>
      <c r="M96" t="str">
        <f>LEFT(Tabela13[[#This Row],[Largura de copa (metros)]],LEN(Tabela13[[#This Row],[Largura de copa (metros)]])-1)</f>
        <v>2-3</v>
      </c>
      <c r="N96" s="126" t="s">
        <v>973</v>
      </c>
      <c r="O96" s="126" t="str">
        <f>"="&amp;Tabela13[[#This Row],[Coluna1]]</f>
        <v>=2-3</v>
      </c>
      <c r="P96" s="126">
        <f>2+3</f>
        <v>5</v>
      </c>
      <c r="Q96" s="126">
        <f>Tabela13[[#This Row],[Coluna 23]]/2</f>
        <v>2.5</v>
      </c>
      <c r="R96" t="s">
        <v>577</v>
      </c>
      <c r="S96" t="s">
        <v>340</v>
      </c>
      <c r="T96" t="s">
        <v>342</v>
      </c>
      <c r="U96" t="s">
        <v>307</v>
      </c>
      <c r="V96" t="s">
        <v>308</v>
      </c>
      <c r="W96" t="s">
        <v>294</v>
      </c>
      <c r="X96" t="s">
        <v>309</v>
      </c>
      <c r="Y96" t="s">
        <v>298</v>
      </c>
      <c r="Z96" t="s">
        <v>323</v>
      </c>
      <c r="AA96" t="s">
        <v>311</v>
      </c>
      <c r="AB96" t="s">
        <v>325</v>
      </c>
      <c r="AC96" t="s">
        <v>299</v>
      </c>
    </row>
    <row r="97" spans="1:29">
      <c r="A97" s="117" t="s">
        <v>668</v>
      </c>
      <c r="B97" t="s">
        <v>669</v>
      </c>
      <c r="C97" s="117" t="s">
        <v>670</v>
      </c>
      <c r="D97" t="s">
        <v>423</v>
      </c>
      <c r="E97" t="s">
        <v>283</v>
      </c>
      <c r="F97" t="s">
        <v>57</v>
      </c>
      <c r="G97" t="s">
        <v>284</v>
      </c>
      <c r="H97" t="s">
        <v>302</v>
      </c>
      <c r="I97" t="s">
        <v>285</v>
      </c>
      <c r="J97" t="s">
        <v>339</v>
      </c>
      <c r="K97" t="s">
        <v>305</v>
      </c>
      <c r="L97">
        <f>LEN(Tabela13[[#This Row],[Largura de copa (metros)]])</f>
        <v>4</v>
      </c>
      <c r="M97" t="str">
        <f>LEFT(Tabela13[[#This Row],[Largura de copa (metros)]],LEN(Tabela13[[#This Row],[Largura de copa (metros)]])-1)</f>
        <v>4-6</v>
      </c>
      <c r="N97" s="126" t="s">
        <v>969</v>
      </c>
      <c r="O97" s="126" t="str">
        <f>"="&amp;Tabela13[[#This Row],[Coluna1]]</f>
        <v>=4-6</v>
      </c>
      <c r="P97" s="126">
        <f>4+6</f>
        <v>10</v>
      </c>
      <c r="Q97" s="126">
        <f>Tabela13[[#This Row],[Coluna 23]]/2</f>
        <v>5</v>
      </c>
      <c r="R97" t="s">
        <v>349</v>
      </c>
      <c r="S97" t="s">
        <v>306</v>
      </c>
      <c r="T97" t="s">
        <v>291</v>
      </c>
      <c r="U97" s="121" t="s">
        <v>292</v>
      </c>
      <c r="V97" t="s">
        <v>293</v>
      </c>
      <c r="W97" t="s">
        <v>294</v>
      </c>
      <c r="X97" t="s">
        <v>390</v>
      </c>
      <c r="Y97" t="s">
        <v>325</v>
      </c>
      <c r="Z97" t="s">
        <v>310</v>
      </c>
      <c r="AA97" t="s">
        <v>311</v>
      </c>
      <c r="AB97" t="s">
        <v>299</v>
      </c>
      <c r="AC97" t="s">
        <v>671</v>
      </c>
    </row>
    <row r="98" spans="1:29">
      <c r="A98" s="117" t="s">
        <v>672</v>
      </c>
      <c r="B98" t="s">
        <v>673</v>
      </c>
      <c r="C98" s="117" t="s">
        <v>674</v>
      </c>
      <c r="D98" t="s">
        <v>517</v>
      </c>
      <c r="E98" t="s">
        <v>353</v>
      </c>
      <c r="F98" t="s">
        <v>57</v>
      </c>
      <c r="G98" t="s">
        <v>284</v>
      </c>
      <c r="H98" t="s">
        <v>468</v>
      </c>
      <c r="I98" t="s">
        <v>303</v>
      </c>
      <c r="J98" t="s">
        <v>675</v>
      </c>
      <c r="K98" t="s">
        <v>340</v>
      </c>
      <c r="L98">
        <f>LEN(Tabela13[[#This Row],[Largura de copa (metros)]])</f>
        <v>4</v>
      </c>
      <c r="M98" t="str">
        <f>LEFT(Tabela13[[#This Row],[Largura de copa (metros)]],LEN(Tabela13[[#This Row],[Largura de copa (metros)]])-1)</f>
        <v>2-3</v>
      </c>
      <c r="N98" s="126" t="s">
        <v>973</v>
      </c>
      <c r="O98" s="126" t="str">
        <f>"="&amp;Tabela13[[#This Row],[Coluna1]]</f>
        <v>=2-3</v>
      </c>
      <c r="P98" s="126">
        <f>2+3</f>
        <v>5</v>
      </c>
      <c r="Q98" s="126">
        <f>Tabela13[[#This Row],[Coluna 23]]/2</f>
        <v>2.5</v>
      </c>
      <c r="R98" t="s">
        <v>395</v>
      </c>
      <c r="S98" t="s">
        <v>340</v>
      </c>
      <c r="T98" t="s">
        <v>342</v>
      </c>
      <c r="U98" t="s">
        <v>378</v>
      </c>
      <c r="V98" t="s">
        <v>313</v>
      </c>
      <c r="W98" t="s">
        <v>294</v>
      </c>
      <c r="X98" t="s">
        <v>309</v>
      </c>
      <c r="Y98" t="s">
        <v>294</v>
      </c>
      <c r="Z98" t="s">
        <v>323</v>
      </c>
      <c r="AA98" t="s">
        <v>324</v>
      </c>
      <c r="AB98" t="s">
        <v>299</v>
      </c>
      <c r="AC98" t="s">
        <v>299</v>
      </c>
    </row>
    <row r="99" spans="1:29" s="122" customFormat="1">
      <c r="A99" s="117" t="s">
        <v>676</v>
      </c>
      <c r="B99" t="s">
        <v>677</v>
      </c>
      <c r="C99" s="117" t="s">
        <v>678</v>
      </c>
      <c r="D99" t="s">
        <v>618</v>
      </c>
      <c r="E99" t="s">
        <v>283</v>
      </c>
      <c r="F99" t="s">
        <v>57</v>
      </c>
      <c r="G99" t="s">
        <v>284</v>
      </c>
      <c r="H99" t="s">
        <v>302</v>
      </c>
      <c r="I99" t="s">
        <v>303</v>
      </c>
      <c r="J99" t="s">
        <v>320</v>
      </c>
      <c r="K99" t="s">
        <v>340</v>
      </c>
      <c r="L99">
        <f>LEN(Tabela13[[#This Row],[Largura de copa (metros)]])</f>
        <v>4</v>
      </c>
      <c r="M99" t="str">
        <f>LEFT(Tabela13[[#This Row],[Largura de copa (metros)]],LEN(Tabela13[[#This Row],[Largura de copa (metros)]])-1)</f>
        <v>2-3</v>
      </c>
      <c r="N99" s="126" t="s">
        <v>973</v>
      </c>
      <c r="O99" s="126" t="str">
        <f>"="&amp;Tabela13[[#This Row],[Coluna1]]</f>
        <v>=2-3</v>
      </c>
      <c r="P99" s="126">
        <f>2+3</f>
        <v>5</v>
      </c>
      <c r="Q99" s="126">
        <f>Tabela13[[#This Row],[Coluna 23]]/2</f>
        <v>2.5</v>
      </c>
      <c r="R99" t="s">
        <v>340</v>
      </c>
      <c r="S99" t="s">
        <v>340</v>
      </c>
      <c r="T99" t="s">
        <v>342</v>
      </c>
      <c r="U99" t="s">
        <v>307</v>
      </c>
      <c r="V99" t="s">
        <v>313</v>
      </c>
      <c r="W99" t="s">
        <v>294</v>
      </c>
      <c r="X99" t="s">
        <v>309</v>
      </c>
      <c r="Y99" t="s">
        <v>294</v>
      </c>
      <c r="Z99" t="s">
        <v>323</v>
      </c>
      <c r="AA99" t="s">
        <v>324</v>
      </c>
      <c r="AB99" t="s">
        <v>299</v>
      </c>
      <c r="AC99" t="s">
        <v>299</v>
      </c>
    </row>
    <row r="100" spans="1:29" s="122" customFormat="1">
      <c r="A100" s="117" t="s">
        <v>679</v>
      </c>
      <c r="B100" t="s">
        <v>677</v>
      </c>
      <c r="C100" s="117" t="s">
        <v>678</v>
      </c>
      <c r="D100" t="s">
        <v>618</v>
      </c>
      <c r="E100" t="s">
        <v>283</v>
      </c>
      <c r="F100" t="s">
        <v>57</v>
      </c>
      <c r="G100" t="s">
        <v>284</v>
      </c>
      <c r="H100" t="s">
        <v>302</v>
      </c>
      <c r="I100" t="s">
        <v>303</v>
      </c>
      <c r="J100" t="s">
        <v>320</v>
      </c>
      <c r="K100" t="s">
        <v>336</v>
      </c>
      <c r="L100">
        <f>LEN(Tabela13[[#This Row],[Largura de copa (metros)]])</f>
        <v>4</v>
      </c>
      <c r="M100" t="str">
        <f>LEFT(Tabela13[[#This Row],[Largura de copa (metros)]],LEN(Tabela13[[#This Row],[Largura de copa (metros)]])-1)</f>
        <v>2-4</v>
      </c>
      <c r="N100" s="126" t="s">
        <v>972</v>
      </c>
      <c r="O100" s="126" t="str">
        <f>"="&amp;Tabela13[[#This Row],[Coluna1]]</f>
        <v>=2-4</v>
      </c>
      <c r="P100" s="126">
        <f>2+4</f>
        <v>6</v>
      </c>
      <c r="Q100" s="126">
        <f>Tabela13[[#This Row],[Coluna 23]]/2</f>
        <v>3</v>
      </c>
      <c r="R100" t="s">
        <v>510</v>
      </c>
      <c r="S100" t="s">
        <v>336</v>
      </c>
      <c r="T100" t="s">
        <v>342</v>
      </c>
      <c r="U100" t="s">
        <v>378</v>
      </c>
      <c r="V100" t="s">
        <v>313</v>
      </c>
      <c r="W100" t="s">
        <v>294</v>
      </c>
      <c r="X100" t="s">
        <v>309</v>
      </c>
      <c r="Y100" t="s">
        <v>294</v>
      </c>
      <c r="Z100" t="s">
        <v>323</v>
      </c>
      <c r="AA100" t="s">
        <v>324</v>
      </c>
      <c r="AB100" t="s">
        <v>299</v>
      </c>
      <c r="AC100" t="s">
        <v>299</v>
      </c>
    </row>
    <row r="101" spans="1:29" s="122" customFormat="1">
      <c r="A101" s="117" t="s">
        <v>680</v>
      </c>
      <c r="B101" t="s">
        <v>677</v>
      </c>
      <c r="C101" s="117" t="s">
        <v>678</v>
      </c>
      <c r="D101" t="s">
        <v>618</v>
      </c>
      <c r="E101" t="s">
        <v>283</v>
      </c>
      <c r="F101" t="s">
        <v>57</v>
      </c>
      <c r="G101" t="s">
        <v>284</v>
      </c>
      <c r="H101" t="s">
        <v>302</v>
      </c>
      <c r="I101" t="s">
        <v>285</v>
      </c>
      <c r="J101" t="s">
        <v>320</v>
      </c>
      <c r="K101" t="s">
        <v>306</v>
      </c>
      <c r="L101">
        <f>LEN(Tabela13[[#This Row],[Largura de copa (metros)]])</f>
        <v>4</v>
      </c>
      <c r="M101" t="str">
        <f>LEFT(Tabela13[[#This Row],[Largura de copa (metros)]],LEN(Tabela13[[#This Row],[Largura de copa (metros)]])-1)</f>
        <v>3-5</v>
      </c>
      <c r="N101" s="126" t="s">
        <v>1000</v>
      </c>
      <c r="O101" s="126" t="str">
        <f>"="&amp;Tabela13[[#This Row],[Coluna1]]</f>
        <v>=3-5</v>
      </c>
      <c r="P101" s="126">
        <f>3+5</f>
        <v>8</v>
      </c>
      <c r="Q101" s="126">
        <f>Tabela13[[#This Row],[Coluna 23]]/2</f>
        <v>4</v>
      </c>
      <c r="R101" t="s">
        <v>681</v>
      </c>
      <c r="S101" t="s">
        <v>336</v>
      </c>
      <c r="T101" t="s">
        <v>342</v>
      </c>
      <c r="U101" t="s">
        <v>378</v>
      </c>
      <c r="V101" t="s">
        <v>313</v>
      </c>
      <c r="W101" t="s">
        <v>294</v>
      </c>
      <c r="X101" t="s">
        <v>309</v>
      </c>
      <c r="Y101" t="s">
        <v>294</v>
      </c>
      <c r="Z101" t="s">
        <v>323</v>
      </c>
      <c r="AA101" t="s">
        <v>299</v>
      </c>
      <c r="AB101" t="s">
        <v>299</v>
      </c>
      <c r="AC101" t="s">
        <v>299</v>
      </c>
    </row>
    <row r="102" spans="1:29" s="122" customFormat="1">
      <c r="A102" s="117" t="s">
        <v>682</v>
      </c>
      <c r="B102" t="s">
        <v>677</v>
      </c>
      <c r="C102" s="117" t="s">
        <v>678</v>
      </c>
      <c r="D102" t="s">
        <v>618</v>
      </c>
      <c r="E102" t="s">
        <v>283</v>
      </c>
      <c r="F102" t="s">
        <v>57</v>
      </c>
      <c r="G102" t="s">
        <v>284</v>
      </c>
      <c r="H102" t="s">
        <v>299</v>
      </c>
      <c r="I102" t="s">
        <v>303</v>
      </c>
      <c r="J102" t="s">
        <v>320</v>
      </c>
      <c r="K102" t="s">
        <v>340</v>
      </c>
      <c r="L102">
        <f>LEN(Tabela13[[#This Row],[Largura de copa (metros)]])</f>
        <v>4</v>
      </c>
      <c r="M102" t="str">
        <f>LEFT(Tabela13[[#This Row],[Largura de copa (metros)]],LEN(Tabela13[[#This Row],[Largura de copa (metros)]])-1)</f>
        <v>2-3</v>
      </c>
      <c r="N102" s="126" t="s">
        <v>973</v>
      </c>
      <c r="O102" s="126" t="str">
        <f>"="&amp;Tabela13[[#This Row],[Coluna1]]</f>
        <v>=2-3</v>
      </c>
      <c r="P102" s="126">
        <f>2+3</f>
        <v>5</v>
      </c>
      <c r="Q102" s="126">
        <f>Tabela13[[#This Row],[Coluna 23]]/2</f>
        <v>2.5</v>
      </c>
      <c r="R102" t="s">
        <v>306</v>
      </c>
      <c r="S102" t="s">
        <v>340</v>
      </c>
      <c r="T102" t="s">
        <v>342</v>
      </c>
      <c r="U102" t="s">
        <v>307</v>
      </c>
      <c r="V102" t="s">
        <v>313</v>
      </c>
      <c r="W102" t="s">
        <v>294</v>
      </c>
      <c r="X102" t="s">
        <v>309</v>
      </c>
      <c r="Y102" t="s">
        <v>294</v>
      </c>
      <c r="Z102" t="s">
        <v>323</v>
      </c>
      <c r="AA102" t="s">
        <v>299</v>
      </c>
      <c r="AB102" t="s">
        <v>325</v>
      </c>
      <c r="AC102" t="s">
        <v>299</v>
      </c>
    </row>
    <row r="103" spans="1:29" s="122" customFormat="1">
      <c r="A103" s="117" t="s">
        <v>683</v>
      </c>
      <c r="B103" t="s">
        <v>677</v>
      </c>
      <c r="C103" s="117" t="s">
        <v>678</v>
      </c>
      <c r="D103" t="s">
        <v>618</v>
      </c>
      <c r="E103" t="s">
        <v>283</v>
      </c>
      <c r="F103" t="s">
        <v>57</v>
      </c>
      <c r="G103" t="s">
        <v>284</v>
      </c>
      <c r="H103" t="s">
        <v>299</v>
      </c>
      <c r="I103" t="s">
        <v>303</v>
      </c>
      <c r="J103" t="s">
        <v>320</v>
      </c>
      <c r="K103" t="s">
        <v>577</v>
      </c>
      <c r="L103">
        <f>LEN(Tabela13[[#This Row],[Largura de copa (metros)]])</f>
        <v>4</v>
      </c>
      <c r="M103" t="str">
        <f>LEFT(Tabela13[[#This Row],[Largura de copa (metros)]],LEN(Tabela13[[#This Row],[Largura de copa (metros)]])-1)</f>
        <v>2-5</v>
      </c>
      <c r="N103" s="126" t="s">
        <v>1001</v>
      </c>
      <c r="O103" s="126" t="str">
        <f>"="&amp;Tabela13[[#This Row],[Coluna1]]</f>
        <v>=2-5</v>
      </c>
      <c r="P103" s="126">
        <f>2+5</f>
        <v>7</v>
      </c>
      <c r="Q103" s="126">
        <f>Tabela13[[#This Row],[Coluna 23]]/2</f>
        <v>3.5</v>
      </c>
      <c r="R103" t="s">
        <v>305</v>
      </c>
      <c r="S103" t="s">
        <v>577</v>
      </c>
      <c r="T103" t="s">
        <v>291</v>
      </c>
      <c r="U103" t="s">
        <v>307</v>
      </c>
      <c r="V103" t="s">
        <v>308</v>
      </c>
      <c r="W103" t="s">
        <v>294</v>
      </c>
      <c r="X103" t="s">
        <v>309</v>
      </c>
      <c r="Y103" t="s">
        <v>294</v>
      </c>
      <c r="Z103" t="s">
        <v>323</v>
      </c>
      <c r="AA103" t="s">
        <v>299</v>
      </c>
      <c r="AB103" t="s">
        <v>294</v>
      </c>
      <c r="AC103" t="s">
        <v>299</v>
      </c>
    </row>
    <row r="104" spans="1:29">
      <c r="A104" s="117" t="s">
        <v>684</v>
      </c>
      <c r="B104" t="s">
        <v>685</v>
      </c>
      <c r="C104" s="117" t="s">
        <v>685</v>
      </c>
      <c r="D104" t="s">
        <v>686</v>
      </c>
      <c r="E104" t="s">
        <v>283</v>
      </c>
      <c r="F104" t="s">
        <v>57</v>
      </c>
      <c r="G104" t="s">
        <v>319</v>
      </c>
      <c r="H104" t="s">
        <v>302</v>
      </c>
      <c r="I104" t="s">
        <v>286</v>
      </c>
      <c r="J104" t="s">
        <v>619</v>
      </c>
      <c r="K104" t="s">
        <v>288</v>
      </c>
      <c r="L104">
        <f>LEN(Tabela13[[#This Row],[Largura de copa (metros)]])</f>
        <v>4</v>
      </c>
      <c r="M104" t="str">
        <f>LEFT(Tabela13[[#This Row],[Largura de copa (metros)]],LEN(Tabela13[[#This Row],[Largura de copa (metros)]])-1)</f>
        <v>6-8</v>
      </c>
      <c r="N104" s="126" t="s">
        <v>968</v>
      </c>
      <c r="O104" s="126" t="str">
        <f>"="&amp;Tabela13[[#This Row],[Coluna1]]</f>
        <v>=6-8</v>
      </c>
      <c r="P104" s="126">
        <f>6+8</f>
        <v>14</v>
      </c>
      <c r="Q104" s="126">
        <f>Tabela13[[#This Row],[Coluna 23]]/2</f>
        <v>7</v>
      </c>
      <c r="R104" t="s">
        <v>360</v>
      </c>
      <c r="S104" t="s">
        <v>290</v>
      </c>
      <c r="T104" t="s">
        <v>291</v>
      </c>
      <c r="U104" t="s">
        <v>292</v>
      </c>
      <c r="V104" t="s">
        <v>293</v>
      </c>
      <c r="W104" t="s">
        <v>294</v>
      </c>
      <c r="X104" t="s">
        <v>295</v>
      </c>
      <c r="Y104" t="s">
        <v>294</v>
      </c>
      <c r="Z104" t="s">
        <v>310</v>
      </c>
      <c r="AA104" t="s">
        <v>311</v>
      </c>
      <c r="AB104" t="s">
        <v>294</v>
      </c>
      <c r="AC104" t="s">
        <v>299</v>
      </c>
    </row>
    <row r="105" spans="1:29" s="122" customFormat="1">
      <c r="A105" s="117" t="s">
        <v>687</v>
      </c>
      <c r="B105" t="s">
        <v>685</v>
      </c>
      <c r="C105" s="117" t="s">
        <v>685</v>
      </c>
      <c r="D105" t="s">
        <v>686</v>
      </c>
      <c r="E105" t="s">
        <v>283</v>
      </c>
      <c r="F105" t="s">
        <v>57</v>
      </c>
      <c r="G105" t="s">
        <v>319</v>
      </c>
      <c r="H105" t="s">
        <v>302</v>
      </c>
      <c r="I105" t="s">
        <v>286</v>
      </c>
      <c r="J105" t="s">
        <v>619</v>
      </c>
      <c r="K105" t="s">
        <v>288</v>
      </c>
      <c r="L105">
        <f>LEN(Tabela13[[#This Row],[Largura de copa (metros)]])</f>
        <v>4</v>
      </c>
      <c r="M105" t="str">
        <f>LEFT(Tabela13[[#This Row],[Largura de copa (metros)]],LEN(Tabela13[[#This Row],[Largura de copa (metros)]])-1)</f>
        <v>6-8</v>
      </c>
      <c r="N105" s="126" t="s">
        <v>968</v>
      </c>
      <c r="O105" s="126" t="str">
        <f>"="&amp;Tabela13[[#This Row],[Coluna1]]</f>
        <v>=6-8</v>
      </c>
      <c r="P105" s="126">
        <f>6+8</f>
        <v>14</v>
      </c>
      <c r="Q105" s="126">
        <f>Tabela13[[#This Row],[Coluna 23]]/2</f>
        <v>7</v>
      </c>
      <c r="R105" t="s">
        <v>360</v>
      </c>
      <c r="S105" t="s">
        <v>290</v>
      </c>
      <c r="T105" t="s">
        <v>291</v>
      </c>
      <c r="U105" t="s">
        <v>292</v>
      </c>
      <c r="V105" t="s">
        <v>293</v>
      </c>
      <c r="W105" t="s">
        <v>294</v>
      </c>
      <c r="X105" t="s">
        <v>295</v>
      </c>
      <c r="Y105" t="s">
        <v>294</v>
      </c>
      <c r="Z105" t="s">
        <v>310</v>
      </c>
      <c r="AA105" t="s">
        <v>311</v>
      </c>
      <c r="AB105" t="s">
        <v>294</v>
      </c>
      <c r="AC105" t="s">
        <v>299</v>
      </c>
    </row>
    <row r="106" spans="1:29">
      <c r="A106" s="117" t="s">
        <v>688</v>
      </c>
      <c r="B106" t="s">
        <v>689</v>
      </c>
      <c r="C106" s="117" t="s">
        <v>690</v>
      </c>
      <c r="D106" t="s">
        <v>691</v>
      </c>
      <c r="E106" t="s">
        <v>283</v>
      </c>
      <c r="F106" t="s">
        <v>57</v>
      </c>
      <c r="G106" t="s">
        <v>319</v>
      </c>
      <c r="H106" t="s">
        <v>285</v>
      </c>
      <c r="I106" t="s">
        <v>286</v>
      </c>
      <c r="J106" t="s">
        <v>619</v>
      </c>
      <c r="K106" t="s">
        <v>519</v>
      </c>
      <c r="L106">
        <f>LEN(Tabela13[[#This Row],[Largura de copa (metros)]])</f>
        <v>5</v>
      </c>
      <c r="M106" t="str">
        <f>LEFT(Tabela13[[#This Row],[Largura de copa (metros)]],LEN(Tabela13[[#This Row],[Largura de copa (metros)]])-1)</f>
        <v>8-15</v>
      </c>
      <c r="N106" s="126" t="s">
        <v>994</v>
      </c>
      <c r="O106" s="126" t="str">
        <f>"="&amp;Tabela13[[#This Row],[Coluna1]]</f>
        <v>=8-15</v>
      </c>
      <c r="P106" s="126">
        <f>8+15</f>
        <v>23</v>
      </c>
      <c r="Q106" s="126">
        <f>Tabela13[[#This Row],[Coluna 23]]/2</f>
        <v>11.5</v>
      </c>
      <c r="R106" t="s">
        <v>692</v>
      </c>
      <c r="S106" t="s">
        <v>626</v>
      </c>
      <c r="T106" t="s">
        <v>362</v>
      </c>
      <c r="U106" t="s">
        <v>292</v>
      </c>
      <c r="V106" t="s">
        <v>293</v>
      </c>
      <c r="W106" t="s">
        <v>298</v>
      </c>
      <c r="X106" t="s">
        <v>295</v>
      </c>
      <c r="Y106" t="s">
        <v>298</v>
      </c>
      <c r="Z106" t="s">
        <v>323</v>
      </c>
      <c r="AA106" t="s">
        <v>297</v>
      </c>
      <c r="AB106" t="s">
        <v>294</v>
      </c>
      <c r="AC106" t="s">
        <v>299</v>
      </c>
    </row>
    <row r="107" spans="1:29" s="121" customFormat="1">
      <c r="A107" s="120" t="s">
        <v>693</v>
      </c>
      <c r="B107" s="121" t="s">
        <v>694</v>
      </c>
      <c r="C107" s="120" t="s">
        <v>695</v>
      </c>
      <c r="D107" s="121" t="s">
        <v>691</v>
      </c>
      <c r="E107" s="121" t="s">
        <v>283</v>
      </c>
      <c r="F107" s="121" t="s">
        <v>57</v>
      </c>
      <c r="G107" s="121" t="s">
        <v>284</v>
      </c>
      <c r="H107" t="s">
        <v>468</v>
      </c>
      <c r="I107" s="121" t="s">
        <v>303</v>
      </c>
      <c r="J107" s="121" t="s">
        <v>304</v>
      </c>
      <c r="K107" s="121" t="s">
        <v>696</v>
      </c>
      <c r="L107" s="121">
        <f>LEN(Tabela13[[#This Row],[Largura de copa (metros)]])</f>
        <v>8</v>
      </c>
      <c r="M107" s="121" t="str">
        <f>LEFT(Tabela13[[#This Row],[Largura de copa (metros)]],LEN(Tabela13[[#This Row],[Largura de copa (metros)]])-1)</f>
        <v>1,5-2,5</v>
      </c>
      <c r="N107" s="127" t="s">
        <v>1002</v>
      </c>
      <c r="O107" s="127" t="str">
        <f>"="&amp;Tabela13[[#This Row],[Coluna1]]</f>
        <v>=1,5-2,5</v>
      </c>
      <c r="P107" s="127">
        <f>1.5+2.5</f>
        <v>4</v>
      </c>
      <c r="Q107" s="127">
        <f>Tabela13[[#This Row],[Coluna 23]]/2</f>
        <v>2</v>
      </c>
      <c r="R107" s="121" t="s">
        <v>376</v>
      </c>
      <c r="S107" s="121" t="s">
        <v>697</v>
      </c>
      <c r="T107" s="121" t="s">
        <v>342</v>
      </c>
      <c r="U107" t="s">
        <v>378</v>
      </c>
      <c r="V107" s="121" t="s">
        <v>299</v>
      </c>
      <c r="W107" s="121" t="s">
        <v>299</v>
      </c>
      <c r="X107" s="121" t="s">
        <v>299</v>
      </c>
      <c r="Y107" s="121" t="s">
        <v>299</v>
      </c>
      <c r="Z107" s="121" t="s">
        <v>299</v>
      </c>
      <c r="AA107" s="121" t="s">
        <v>299</v>
      </c>
      <c r="AB107" s="121" t="s">
        <v>299</v>
      </c>
      <c r="AC107" s="121" t="s">
        <v>299</v>
      </c>
    </row>
    <row r="108" spans="1:29">
      <c r="A108" s="117" t="s">
        <v>698</v>
      </c>
      <c r="B108" t="s">
        <v>699</v>
      </c>
      <c r="C108" s="117" t="s">
        <v>695</v>
      </c>
      <c r="D108" t="s">
        <v>691</v>
      </c>
      <c r="E108" t="s">
        <v>283</v>
      </c>
      <c r="F108" t="s">
        <v>57</v>
      </c>
      <c r="G108" t="s">
        <v>284</v>
      </c>
      <c r="H108" t="s">
        <v>468</v>
      </c>
      <c r="I108" t="s">
        <v>286</v>
      </c>
      <c r="J108" t="s">
        <v>383</v>
      </c>
      <c r="K108" t="s">
        <v>327</v>
      </c>
      <c r="L108">
        <f>LEN(Tabela13[[#This Row],[Largura de copa (metros)]])</f>
        <v>4</v>
      </c>
      <c r="M108" t="str">
        <f>LEFT(Tabela13[[#This Row],[Largura de copa (metros)]],LEN(Tabela13[[#This Row],[Largura de copa (metros)]])-1)</f>
        <v>5-8</v>
      </c>
      <c r="N108" s="126" t="s">
        <v>970</v>
      </c>
      <c r="O108" s="126" t="str">
        <f>"="&amp;Tabela13[[#This Row],[Coluna1]]</f>
        <v>=5-8</v>
      </c>
      <c r="P108" s="126">
        <f>5+8</f>
        <v>13</v>
      </c>
      <c r="Q108" s="126">
        <f>Tabela13[[#This Row],[Coluna 23]]/2</f>
        <v>6.5</v>
      </c>
      <c r="R108" t="s">
        <v>347</v>
      </c>
      <c r="S108" t="s">
        <v>305</v>
      </c>
      <c r="T108" t="s">
        <v>291</v>
      </c>
      <c r="U108" t="s">
        <v>292</v>
      </c>
      <c r="V108" t="s">
        <v>313</v>
      </c>
      <c r="W108" t="s">
        <v>294</v>
      </c>
      <c r="X108" t="s">
        <v>309</v>
      </c>
      <c r="Y108" t="s">
        <v>298</v>
      </c>
      <c r="Z108" t="s">
        <v>700</v>
      </c>
      <c r="AA108" t="s">
        <v>299</v>
      </c>
      <c r="AB108" t="s">
        <v>294</v>
      </c>
      <c r="AC108" t="s">
        <v>299</v>
      </c>
    </row>
    <row r="109" spans="1:29">
      <c r="A109" s="117" t="s">
        <v>701</v>
      </c>
      <c r="B109" t="s">
        <v>702</v>
      </c>
      <c r="C109" s="117" t="s">
        <v>695</v>
      </c>
      <c r="D109" t="s">
        <v>691</v>
      </c>
      <c r="E109" t="s">
        <v>283</v>
      </c>
      <c r="F109" t="s">
        <v>57</v>
      </c>
      <c r="G109" t="s">
        <v>319</v>
      </c>
      <c r="H109" t="s">
        <v>468</v>
      </c>
      <c r="I109" t="s">
        <v>303</v>
      </c>
      <c r="J109" t="s">
        <v>320</v>
      </c>
      <c r="K109" t="s">
        <v>703</v>
      </c>
      <c r="L109">
        <f>LEN(Tabela13[[#This Row],[Largura de copa (metros)]])</f>
        <v>6</v>
      </c>
      <c r="M109" t="str">
        <f>LEFT(Tabela13[[#This Row],[Largura de copa (metros)]],LEN(Tabela13[[#This Row],[Largura de copa (metros)]])-1)</f>
        <v>1,5-3</v>
      </c>
      <c r="N109" s="126" t="s">
        <v>1003</v>
      </c>
      <c r="O109" s="126" t="str">
        <f>"="&amp;Tabela13[[#This Row],[Coluna1]]</f>
        <v>=1,5-3</v>
      </c>
      <c r="P109" s="126">
        <f>1.5+3</f>
        <v>4.5</v>
      </c>
      <c r="Q109" s="126">
        <f>Tabela13[[#This Row],[Coluna 23]]/2</f>
        <v>2.25</v>
      </c>
      <c r="R109" t="s">
        <v>306</v>
      </c>
      <c r="S109" t="s">
        <v>703</v>
      </c>
      <c r="T109" t="s">
        <v>342</v>
      </c>
      <c r="U109" t="s">
        <v>307</v>
      </c>
      <c r="V109" t="s">
        <v>299</v>
      </c>
      <c r="W109" t="s">
        <v>299</v>
      </c>
      <c r="X109" t="s">
        <v>299</v>
      </c>
      <c r="Y109" t="s">
        <v>325</v>
      </c>
      <c r="Z109" t="s">
        <v>323</v>
      </c>
      <c r="AA109" t="s">
        <v>311</v>
      </c>
      <c r="AB109" t="s">
        <v>298</v>
      </c>
      <c r="AC109" t="s">
        <v>299</v>
      </c>
    </row>
    <row r="110" spans="1:29">
      <c r="A110" s="117" t="s">
        <v>704</v>
      </c>
      <c r="B110" t="s">
        <v>705</v>
      </c>
      <c r="C110" s="117" t="s">
        <v>695</v>
      </c>
      <c r="D110" t="s">
        <v>691</v>
      </c>
      <c r="E110" t="s">
        <v>283</v>
      </c>
      <c r="F110" t="s">
        <v>57</v>
      </c>
      <c r="G110" t="s">
        <v>284</v>
      </c>
      <c r="H110" t="s">
        <v>468</v>
      </c>
      <c r="I110" t="s">
        <v>303</v>
      </c>
      <c r="J110" t="s">
        <v>320</v>
      </c>
      <c r="K110" t="s">
        <v>703</v>
      </c>
      <c r="L110">
        <f>LEN(Tabela13[[#This Row],[Largura de copa (metros)]])</f>
        <v>6</v>
      </c>
      <c r="M110" t="str">
        <f>LEFT(Tabela13[[#This Row],[Largura de copa (metros)]],LEN(Tabela13[[#This Row],[Largura de copa (metros)]])-1)</f>
        <v>1,5-3</v>
      </c>
      <c r="N110" s="126" t="s">
        <v>1003</v>
      </c>
      <c r="O110" s="126" t="str">
        <f>"="&amp;Tabela13[[#This Row],[Coluna1]]</f>
        <v>=1,5-3</v>
      </c>
      <c r="P110" s="126">
        <f>1.5+3</f>
        <v>4.5</v>
      </c>
      <c r="Q110" s="126">
        <f>Tabela13[[#This Row],[Coluna 23]]/2</f>
        <v>2.25</v>
      </c>
      <c r="R110" t="s">
        <v>551</v>
      </c>
      <c r="S110" t="s">
        <v>703</v>
      </c>
      <c r="T110" t="s">
        <v>342</v>
      </c>
      <c r="U110" t="s">
        <v>307</v>
      </c>
      <c r="V110" t="s">
        <v>299</v>
      </c>
      <c r="W110" t="s">
        <v>299</v>
      </c>
      <c r="X110" t="s">
        <v>299</v>
      </c>
      <c r="Y110" t="s">
        <v>325</v>
      </c>
      <c r="Z110" t="s">
        <v>296</v>
      </c>
      <c r="AA110" t="s">
        <v>311</v>
      </c>
      <c r="AB110" t="s">
        <v>325</v>
      </c>
      <c r="AC110" t="s">
        <v>299</v>
      </c>
    </row>
    <row r="111" spans="1:29">
      <c r="A111" s="117" t="s">
        <v>706</v>
      </c>
      <c r="B111" t="s">
        <v>707</v>
      </c>
      <c r="C111" s="117" t="s">
        <v>695</v>
      </c>
      <c r="D111" t="s">
        <v>691</v>
      </c>
      <c r="E111" t="s">
        <v>283</v>
      </c>
      <c r="F111" t="s">
        <v>57</v>
      </c>
      <c r="G111" t="s">
        <v>319</v>
      </c>
      <c r="H111" t="s">
        <v>468</v>
      </c>
      <c r="I111" t="s">
        <v>303</v>
      </c>
      <c r="J111" t="s">
        <v>304</v>
      </c>
      <c r="K111" t="s">
        <v>336</v>
      </c>
      <c r="L111">
        <f>LEN(Tabela13[[#This Row],[Largura de copa (metros)]])</f>
        <v>4</v>
      </c>
      <c r="M111" t="str">
        <f>LEFT(Tabela13[[#This Row],[Largura de copa (metros)]],LEN(Tabela13[[#This Row],[Largura de copa (metros)]])-1)</f>
        <v>2-4</v>
      </c>
      <c r="N111" s="126" t="s">
        <v>972</v>
      </c>
      <c r="O111" s="126" t="str">
        <f>"="&amp;Tabela13[[#This Row],[Coluna1]]</f>
        <v>=2-4</v>
      </c>
      <c r="P111" s="126">
        <f>2+4</f>
        <v>6</v>
      </c>
      <c r="Q111" s="126">
        <f>Tabela13[[#This Row],[Coluna 23]]/2</f>
        <v>3</v>
      </c>
      <c r="R111" t="s">
        <v>290</v>
      </c>
      <c r="S111" t="s">
        <v>336</v>
      </c>
      <c r="T111" t="s">
        <v>342</v>
      </c>
      <c r="U111" t="s">
        <v>378</v>
      </c>
      <c r="V111" t="s">
        <v>293</v>
      </c>
      <c r="W111" t="s">
        <v>294</v>
      </c>
      <c r="X111" t="s">
        <v>309</v>
      </c>
      <c r="Y111" t="s">
        <v>298</v>
      </c>
      <c r="Z111" t="s">
        <v>296</v>
      </c>
      <c r="AA111" t="s">
        <v>311</v>
      </c>
      <c r="AB111" t="s">
        <v>325</v>
      </c>
      <c r="AC111" t="s">
        <v>299</v>
      </c>
    </row>
    <row r="112" spans="1:29">
      <c r="A112" s="117" t="s">
        <v>708</v>
      </c>
      <c r="B112" t="s">
        <v>709</v>
      </c>
      <c r="C112" s="117" t="s">
        <v>710</v>
      </c>
      <c r="D112" t="s">
        <v>540</v>
      </c>
      <c r="E112" t="s">
        <v>283</v>
      </c>
      <c r="F112" t="s">
        <v>57</v>
      </c>
      <c r="G112" t="s">
        <v>319</v>
      </c>
      <c r="H112" t="s">
        <v>302</v>
      </c>
      <c r="I112" t="s">
        <v>285</v>
      </c>
      <c r="J112" t="s">
        <v>564</v>
      </c>
      <c r="K112" t="s">
        <v>305</v>
      </c>
      <c r="L112">
        <f>LEN(Tabela13[[#This Row],[Largura de copa (metros)]])</f>
        <v>4</v>
      </c>
      <c r="M112" t="str">
        <f>LEFT(Tabela13[[#This Row],[Largura de copa (metros)]],LEN(Tabela13[[#This Row],[Largura de copa (metros)]])-1)</f>
        <v>4-6</v>
      </c>
      <c r="N112" s="126" t="s">
        <v>969</v>
      </c>
      <c r="O112" s="126" t="str">
        <f>"="&amp;Tabela13[[#This Row],[Coluna1]]</f>
        <v>=4-6</v>
      </c>
      <c r="P112" s="126">
        <f>4+6</f>
        <v>10</v>
      </c>
      <c r="Q112" s="126">
        <f>Tabela13[[#This Row],[Coluna 23]]/2</f>
        <v>5</v>
      </c>
      <c r="R112" t="s">
        <v>321</v>
      </c>
      <c r="S112" t="s">
        <v>306</v>
      </c>
      <c r="T112" t="s">
        <v>291</v>
      </c>
      <c r="U112" t="s">
        <v>322</v>
      </c>
      <c r="V112" t="s">
        <v>308</v>
      </c>
      <c r="W112" t="s">
        <v>298</v>
      </c>
      <c r="X112" t="s">
        <v>295</v>
      </c>
      <c r="Y112" t="s">
        <v>294</v>
      </c>
      <c r="Z112" t="s">
        <v>310</v>
      </c>
      <c r="AA112" t="s">
        <v>311</v>
      </c>
      <c r="AB112" t="s">
        <v>298</v>
      </c>
      <c r="AC112" t="s">
        <v>396</v>
      </c>
    </row>
    <row r="113" spans="1:29">
      <c r="A113" s="117" t="s">
        <v>711</v>
      </c>
      <c r="B113" t="s">
        <v>712</v>
      </c>
      <c r="C113" s="117" t="s">
        <v>710</v>
      </c>
      <c r="D113" t="s">
        <v>540</v>
      </c>
      <c r="E113" t="s">
        <v>283</v>
      </c>
      <c r="F113" t="s">
        <v>57</v>
      </c>
      <c r="G113" t="s">
        <v>319</v>
      </c>
      <c r="H113" t="s">
        <v>302</v>
      </c>
      <c r="I113" t="s">
        <v>285</v>
      </c>
      <c r="J113" t="s">
        <v>320</v>
      </c>
      <c r="K113" t="s">
        <v>305</v>
      </c>
      <c r="L113">
        <f>LEN(Tabela13[[#This Row],[Largura de copa (metros)]])</f>
        <v>4</v>
      </c>
      <c r="M113" t="str">
        <f>LEFT(Tabela13[[#This Row],[Largura de copa (metros)]],LEN(Tabela13[[#This Row],[Largura de copa (metros)]])-1)</f>
        <v>4-6</v>
      </c>
      <c r="N113" s="126" t="s">
        <v>969</v>
      </c>
      <c r="O113" s="126" t="str">
        <f>"="&amp;Tabela13[[#This Row],[Coluna1]]</f>
        <v>=4-6</v>
      </c>
      <c r="P113" s="126">
        <f>4+6</f>
        <v>10</v>
      </c>
      <c r="Q113" s="126">
        <f>Tabela13[[#This Row],[Coluna 23]]/2</f>
        <v>5</v>
      </c>
      <c r="R113" t="s">
        <v>372</v>
      </c>
      <c r="S113" t="s">
        <v>306</v>
      </c>
      <c r="T113" t="s">
        <v>291</v>
      </c>
      <c r="U113" t="s">
        <v>378</v>
      </c>
      <c r="V113" t="s">
        <v>308</v>
      </c>
      <c r="W113" t="s">
        <v>294</v>
      </c>
      <c r="X113" t="s">
        <v>295</v>
      </c>
      <c r="Y113" t="s">
        <v>298</v>
      </c>
      <c r="Z113" t="s">
        <v>310</v>
      </c>
      <c r="AA113" t="s">
        <v>311</v>
      </c>
      <c r="AB113" t="s">
        <v>298</v>
      </c>
      <c r="AC113" t="s">
        <v>299</v>
      </c>
    </row>
    <row r="114" spans="1:29" s="121" customFormat="1">
      <c r="A114" s="120" t="s">
        <v>713</v>
      </c>
      <c r="B114" s="121" t="s">
        <v>714</v>
      </c>
      <c r="C114" s="120" t="s">
        <v>715</v>
      </c>
      <c r="D114" s="121" t="s">
        <v>433</v>
      </c>
      <c r="E114" s="121" t="s">
        <v>283</v>
      </c>
      <c r="F114" s="121" t="s">
        <v>57</v>
      </c>
      <c r="G114" s="121" t="s">
        <v>284</v>
      </c>
      <c r="I114" s="121" t="s">
        <v>285</v>
      </c>
      <c r="J114" s="121" t="s">
        <v>304</v>
      </c>
      <c r="K114" s="121" t="s">
        <v>716</v>
      </c>
      <c r="L114" s="121">
        <f>LEN(Tabela13[[#This Row],[Largura de copa (metros)]])</f>
        <v>4</v>
      </c>
      <c r="M114" s="121" t="str">
        <f>LEFT(Tabela13[[#This Row],[Largura de copa (metros)]],LEN(Tabela13[[#This Row],[Largura de copa (metros)]])-1)</f>
        <v>4-9</v>
      </c>
      <c r="N114" s="127" t="s">
        <v>1004</v>
      </c>
      <c r="O114" s="127" t="str">
        <f>"="&amp;Tabela13[[#This Row],[Coluna1]]</f>
        <v>=4-9</v>
      </c>
      <c r="P114" s="127">
        <f>4+9</f>
        <v>13</v>
      </c>
      <c r="Q114" s="127">
        <f>Tabela13[[#This Row],[Coluna 23]]/2</f>
        <v>6.5</v>
      </c>
      <c r="R114" s="121" t="s">
        <v>376</v>
      </c>
      <c r="S114" s="121" t="s">
        <v>395</v>
      </c>
      <c r="T114" t="s">
        <v>291</v>
      </c>
      <c r="U114" t="s">
        <v>378</v>
      </c>
      <c r="V114" s="121" t="s">
        <v>299</v>
      </c>
      <c r="W114" s="121" t="s">
        <v>299</v>
      </c>
      <c r="X114" s="121" t="s">
        <v>299</v>
      </c>
      <c r="Y114" s="121" t="s">
        <v>299</v>
      </c>
      <c r="Z114" s="121" t="s">
        <v>299</v>
      </c>
      <c r="AA114" s="121" t="s">
        <v>299</v>
      </c>
      <c r="AB114" s="121" t="s">
        <v>299</v>
      </c>
      <c r="AC114" s="121" t="s">
        <v>299</v>
      </c>
    </row>
    <row r="115" spans="1:29">
      <c r="A115" s="117" t="s">
        <v>717</v>
      </c>
      <c r="B115" t="s">
        <v>718</v>
      </c>
      <c r="C115" s="117" t="s">
        <v>719</v>
      </c>
      <c r="D115" t="s">
        <v>720</v>
      </c>
      <c r="E115" t="s">
        <v>283</v>
      </c>
      <c r="F115" t="s">
        <v>57</v>
      </c>
      <c r="G115" t="s">
        <v>319</v>
      </c>
      <c r="H115" t="s">
        <v>302</v>
      </c>
      <c r="I115" t="s">
        <v>285</v>
      </c>
      <c r="J115" t="s">
        <v>320</v>
      </c>
      <c r="K115" t="s">
        <v>305</v>
      </c>
      <c r="L115">
        <f>LEN(Tabela13[[#This Row],[Largura de copa (metros)]])</f>
        <v>4</v>
      </c>
      <c r="M115" t="str">
        <f>LEFT(Tabela13[[#This Row],[Largura de copa (metros)]],LEN(Tabela13[[#This Row],[Largura de copa (metros)]])-1)</f>
        <v>4-6</v>
      </c>
      <c r="N115" s="126" t="s">
        <v>969</v>
      </c>
      <c r="O115" s="126" t="str">
        <f>"="&amp;Tabela13[[#This Row],[Coluna1]]</f>
        <v>=4-6</v>
      </c>
      <c r="P115" s="126">
        <f>4+6</f>
        <v>10</v>
      </c>
      <c r="Q115" s="126">
        <f>Tabela13[[#This Row],[Coluna 23]]/2</f>
        <v>5</v>
      </c>
      <c r="R115" t="s">
        <v>519</v>
      </c>
      <c r="S115" t="s">
        <v>306</v>
      </c>
      <c r="T115" t="s">
        <v>291</v>
      </c>
      <c r="U115" t="s">
        <v>292</v>
      </c>
      <c r="V115" t="s">
        <v>308</v>
      </c>
      <c r="W115" t="s">
        <v>294</v>
      </c>
      <c r="X115" t="s">
        <v>309</v>
      </c>
      <c r="Y115" t="s">
        <v>325</v>
      </c>
      <c r="Z115" t="s">
        <v>323</v>
      </c>
      <c r="AA115" t="s">
        <v>297</v>
      </c>
      <c r="AB115" t="s">
        <v>325</v>
      </c>
      <c r="AC115" t="s">
        <v>721</v>
      </c>
    </row>
    <row r="116" spans="1:29">
      <c r="A116" s="117" t="s">
        <v>722</v>
      </c>
      <c r="B116" t="s">
        <v>723</v>
      </c>
      <c r="C116" s="117" t="s">
        <v>724</v>
      </c>
      <c r="D116" t="s">
        <v>433</v>
      </c>
      <c r="E116" t="s">
        <v>283</v>
      </c>
      <c r="F116" t="s">
        <v>57</v>
      </c>
      <c r="G116" t="s">
        <v>284</v>
      </c>
      <c r="H116" t="s">
        <v>468</v>
      </c>
      <c r="I116" t="s">
        <v>285</v>
      </c>
      <c r="J116" t="s">
        <v>320</v>
      </c>
      <c r="K116" t="s">
        <v>360</v>
      </c>
      <c r="L116">
        <f>LEN(Tabela13[[#This Row],[Largura de copa (metros)]])</f>
        <v>6</v>
      </c>
      <c r="M116" t="str">
        <f>LEFT(Tabela13[[#This Row],[Largura de copa (metros)]],LEN(Tabela13[[#This Row],[Largura de copa (metros)]])-1)</f>
        <v>15-20</v>
      </c>
      <c r="N116" s="126" t="s">
        <v>985</v>
      </c>
      <c r="O116" s="126" t="str">
        <f>"="&amp;Tabela13[[#This Row],[Coluna1]]</f>
        <v>=15-20</v>
      </c>
      <c r="P116" s="126">
        <f>15+20</f>
        <v>35</v>
      </c>
      <c r="Q116" s="126">
        <f>Tabela13[[#This Row],[Coluna 23]]/2</f>
        <v>17.5</v>
      </c>
      <c r="R116" t="s">
        <v>606</v>
      </c>
      <c r="S116" t="s">
        <v>455</v>
      </c>
      <c r="T116" t="s">
        <v>362</v>
      </c>
      <c r="U116" t="s">
        <v>292</v>
      </c>
      <c r="V116" t="s">
        <v>299</v>
      </c>
      <c r="W116" t="s">
        <v>299</v>
      </c>
      <c r="X116" t="s">
        <v>299</v>
      </c>
      <c r="Y116" t="s">
        <v>299</v>
      </c>
      <c r="Z116" t="s">
        <v>299</v>
      </c>
      <c r="AA116" t="s">
        <v>324</v>
      </c>
      <c r="AB116" t="s">
        <v>299</v>
      </c>
      <c r="AC116" t="s">
        <v>299</v>
      </c>
    </row>
    <row r="117" spans="1:29">
      <c r="A117" s="117" t="s">
        <v>725</v>
      </c>
      <c r="B117" t="s">
        <v>723</v>
      </c>
      <c r="C117" s="117" t="s">
        <v>724</v>
      </c>
      <c r="D117" t="s">
        <v>433</v>
      </c>
      <c r="E117" t="s">
        <v>283</v>
      </c>
      <c r="F117" t="s">
        <v>57</v>
      </c>
      <c r="G117" t="s">
        <v>284</v>
      </c>
      <c r="H117" t="s">
        <v>468</v>
      </c>
      <c r="I117" t="s">
        <v>285</v>
      </c>
      <c r="J117" t="s">
        <v>320</v>
      </c>
      <c r="K117" t="s">
        <v>349</v>
      </c>
      <c r="L117">
        <f>LEN(Tabela13[[#This Row],[Largura de copa (metros)]])</f>
        <v>6</v>
      </c>
      <c r="M117" t="str">
        <f>LEFT(Tabela13[[#This Row],[Largura de copa (metros)]],LEN(Tabela13[[#This Row],[Largura de copa (metros)]])-1)</f>
        <v>10-15</v>
      </c>
      <c r="N117" s="126" t="s">
        <v>975</v>
      </c>
      <c r="O117" s="126" t="str">
        <f>"="&amp;Tabela13[[#This Row],[Coluna1]]</f>
        <v>=10-15</v>
      </c>
      <c r="P117" s="126">
        <f>10+15</f>
        <v>25</v>
      </c>
      <c r="Q117" s="126">
        <f>Tabela13[[#This Row],[Coluna 23]]/2</f>
        <v>12.5</v>
      </c>
      <c r="R117" t="s">
        <v>606</v>
      </c>
      <c r="S117" t="s">
        <v>321</v>
      </c>
      <c r="T117" t="s">
        <v>362</v>
      </c>
      <c r="U117" t="s">
        <v>292</v>
      </c>
      <c r="V117" t="s">
        <v>299</v>
      </c>
      <c r="W117" t="s">
        <v>299</v>
      </c>
      <c r="X117" t="s">
        <v>299</v>
      </c>
      <c r="Y117" t="s">
        <v>299</v>
      </c>
      <c r="Z117" t="s">
        <v>299</v>
      </c>
      <c r="AA117" t="s">
        <v>324</v>
      </c>
      <c r="AB117" t="s">
        <v>299</v>
      </c>
      <c r="AC117" t="s">
        <v>299</v>
      </c>
    </row>
    <row r="118" spans="1:29">
      <c r="A118" s="117" t="s">
        <v>726</v>
      </c>
      <c r="B118" t="s">
        <v>727</v>
      </c>
      <c r="C118" s="117" t="s">
        <v>728</v>
      </c>
      <c r="D118" t="s">
        <v>604</v>
      </c>
      <c r="E118" t="s">
        <v>283</v>
      </c>
      <c r="F118" t="s">
        <v>57</v>
      </c>
      <c r="G118" t="s">
        <v>319</v>
      </c>
      <c r="H118" t="s">
        <v>302</v>
      </c>
      <c r="I118" t="s">
        <v>285</v>
      </c>
      <c r="J118" t="s">
        <v>320</v>
      </c>
      <c r="K118" t="s">
        <v>305</v>
      </c>
      <c r="L118">
        <f>LEN(Tabela13[[#This Row],[Largura de copa (metros)]])</f>
        <v>4</v>
      </c>
      <c r="M118" t="str">
        <f>LEFT(Tabela13[[#This Row],[Largura de copa (metros)]],LEN(Tabela13[[#This Row],[Largura de copa (metros)]])-1)</f>
        <v>4-6</v>
      </c>
      <c r="N118" s="126" t="s">
        <v>969</v>
      </c>
      <c r="O118" s="126" t="str">
        <f>"="&amp;Tabela13[[#This Row],[Coluna1]]</f>
        <v>=4-6</v>
      </c>
      <c r="P118" s="126">
        <f>4+6</f>
        <v>10</v>
      </c>
      <c r="Q118" s="126">
        <f>Tabela13[[#This Row],[Coluna 23]]/2</f>
        <v>5</v>
      </c>
      <c r="R118" t="s">
        <v>519</v>
      </c>
      <c r="S118" t="s">
        <v>306</v>
      </c>
      <c r="T118" t="s">
        <v>291</v>
      </c>
      <c r="U118" t="s">
        <v>292</v>
      </c>
      <c r="V118" t="s">
        <v>363</v>
      </c>
      <c r="W118" t="s">
        <v>294</v>
      </c>
      <c r="X118" t="s">
        <v>390</v>
      </c>
      <c r="Y118" t="s">
        <v>325</v>
      </c>
      <c r="Z118" t="s">
        <v>310</v>
      </c>
      <c r="AA118" t="s">
        <v>311</v>
      </c>
      <c r="AB118" t="s">
        <v>298</v>
      </c>
      <c r="AC118" t="s">
        <v>565</v>
      </c>
    </row>
    <row r="119" spans="1:29">
      <c r="A119" s="117" t="s">
        <v>729</v>
      </c>
      <c r="B119" t="s">
        <v>727</v>
      </c>
      <c r="C119" s="117" t="s">
        <v>728</v>
      </c>
      <c r="D119" t="s">
        <v>604</v>
      </c>
      <c r="E119" t="s">
        <v>283</v>
      </c>
      <c r="F119" t="s">
        <v>57</v>
      </c>
      <c r="G119" t="s">
        <v>319</v>
      </c>
      <c r="H119" t="s">
        <v>302</v>
      </c>
      <c r="I119" t="s">
        <v>303</v>
      </c>
      <c r="J119" t="s">
        <v>730</v>
      </c>
      <c r="K119" t="s">
        <v>305</v>
      </c>
      <c r="L119">
        <f>LEN(Tabela13[[#This Row],[Largura de copa (metros)]])</f>
        <v>4</v>
      </c>
      <c r="M119" t="str">
        <f>LEFT(Tabela13[[#This Row],[Largura de copa (metros)]],LEN(Tabela13[[#This Row],[Largura de copa (metros)]])-1)</f>
        <v>4-6</v>
      </c>
      <c r="N119" s="126" t="s">
        <v>969</v>
      </c>
      <c r="O119" s="126" t="str">
        <f>"="&amp;Tabela13[[#This Row],[Coluna1]]</f>
        <v>=4-6</v>
      </c>
      <c r="P119" s="126">
        <f>4+6</f>
        <v>10</v>
      </c>
      <c r="Q119" s="126">
        <f>Tabela13[[#This Row],[Coluna 23]]/2</f>
        <v>5</v>
      </c>
      <c r="R119" t="s">
        <v>306</v>
      </c>
      <c r="S119" t="s">
        <v>306</v>
      </c>
      <c r="T119" t="s">
        <v>291</v>
      </c>
      <c r="U119" t="s">
        <v>307</v>
      </c>
      <c r="V119" t="s">
        <v>363</v>
      </c>
      <c r="W119" t="s">
        <v>294</v>
      </c>
      <c r="X119" t="s">
        <v>309</v>
      </c>
      <c r="Y119" t="s">
        <v>298</v>
      </c>
      <c r="Z119" t="s">
        <v>310</v>
      </c>
      <c r="AA119" t="s">
        <v>311</v>
      </c>
      <c r="AB119" t="s">
        <v>298</v>
      </c>
      <c r="AC119" t="s">
        <v>565</v>
      </c>
    </row>
    <row r="120" spans="1:29">
      <c r="A120" s="117" t="s">
        <v>731</v>
      </c>
      <c r="B120" t="s">
        <v>299</v>
      </c>
      <c r="C120" s="117" t="s">
        <v>728</v>
      </c>
      <c r="D120" t="s">
        <v>604</v>
      </c>
      <c r="E120" t="s">
        <v>283</v>
      </c>
      <c r="F120" t="s">
        <v>57</v>
      </c>
      <c r="G120" t="s">
        <v>319</v>
      </c>
      <c r="H120" t="s">
        <v>302</v>
      </c>
      <c r="I120" t="s">
        <v>299</v>
      </c>
      <c r="J120" t="s">
        <v>299</v>
      </c>
      <c r="K120" t="s">
        <v>332</v>
      </c>
      <c r="L120">
        <f>LEN(Tabela13[[#This Row],[Largura de copa (metros)]])</f>
        <v>3</v>
      </c>
      <c r="M120" t="str">
        <f>LEFT(Tabela13[[#This Row],[Largura de copa (metros)]],LEN(Tabela13[[#This Row],[Largura de copa (metros)]])-1)</f>
        <v>10</v>
      </c>
      <c r="N120" s="126" t="s">
        <v>971</v>
      </c>
      <c r="O120" s="126" t="str">
        <f>"="&amp;Tabela13[[#This Row],[Coluna1]]</f>
        <v>=10</v>
      </c>
      <c r="P120" s="126">
        <v>10</v>
      </c>
      <c r="Q120" s="126">
        <f>Tabela13[[#This Row],[Coluna 23]]/2</f>
        <v>5</v>
      </c>
      <c r="R120" t="s">
        <v>333</v>
      </c>
      <c r="S120" t="s">
        <v>441</v>
      </c>
      <c r="T120" t="s">
        <v>291</v>
      </c>
      <c r="U120" t="s">
        <v>378</v>
      </c>
      <c r="V120" t="s">
        <v>363</v>
      </c>
      <c r="W120" t="s">
        <v>294</v>
      </c>
      <c r="X120" t="s">
        <v>299</v>
      </c>
      <c r="Y120" t="s">
        <v>299</v>
      </c>
      <c r="Z120" t="s">
        <v>310</v>
      </c>
      <c r="AA120" t="s">
        <v>311</v>
      </c>
      <c r="AB120" t="s">
        <v>298</v>
      </c>
      <c r="AC120" t="s">
        <v>565</v>
      </c>
    </row>
    <row r="121" spans="1:29">
      <c r="A121" s="117" t="s">
        <v>732</v>
      </c>
      <c r="B121" t="s">
        <v>733</v>
      </c>
      <c r="C121" s="117" t="s">
        <v>728</v>
      </c>
      <c r="D121" t="s">
        <v>604</v>
      </c>
      <c r="E121" t="s">
        <v>283</v>
      </c>
      <c r="F121" t="s">
        <v>57</v>
      </c>
      <c r="G121" t="s">
        <v>319</v>
      </c>
      <c r="H121" t="s">
        <v>302</v>
      </c>
      <c r="I121" t="s">
        <v>285</v>
      </c>
      <c r="J121" t="s">
        <v>320</v>
      </c>
      <c r="K121" t="s">
        <v>305</v>
      </c>
      <c r="L121">
        <f>LEN(Tabela13[[#This Row],[Largura de copa (metros)]])</f>
        <v>4</v>
      </c>
      <c r="M121" t="str">
        <f>LEFT(Tabela13[[#This Row],[Largura de copa (metros)]],LEN(Tabela13[[#This Row],[Largura de copa (metros)]])-1)</f>
        <v>4-6</v>
      </c>
      <c r="N121" s="126" t="s">
        <v>969</v>
      </c>
      <c r="O121" s="126" t="str">
        <f>"="&amp;Tabela13[[#This Row],[Coluna1]]</f>
        <v>=4-6</v>
      </c>
      <c r="P121" s="126">
        <f>4+6</f>
        <v>10</v>
      </c>
      <c r="Q121" s="126">
        <f>Tabela13[[#This Row],[Coluna 23]]/2</f>
        <v>5</v>
      </c>
      <c r="R121" t="s">
        <v>349</v>
      </c>
      <c r="S121" t="s">
        <v>306</v>
      </c>
      <c r="T121" t="s">
        <v>291</v>
      </c>
      <c r="U121" t="s">
        <v>292</v>
      </c>
      <c r="V121" t="s">
        <v>363</v>
      </c>
      <c r="W121" t="s">
        <v>294</v>
      </c>
      <c r="X121" t="s">
        <v>390</v>
      </c>
      <c r="Y121" t="s">
        <v>294</v>
      </c>
      <c r="Z121" t="s">
        <v>310</v>
      </c>
      <c r="AA121" t="s">
        <v>311</v>
      </c>
      <c r="AB121" t="s">
        <v>298</v>
      </c>
      <c r="AC121" t="s">
        <v>565</v>
      </c>
    </row>
    <row r="122" spans="1:29">
      <c r="A122" s="117" t="s">
        <v>734</v>
      </c>
      <c r="B122" t="s">
        <v>735</v>
      </c>
      <c r="C122" s="117" t="s">
        <v>736</v>
      </c>
      <c r="D122" t="s">
        <v>737</v>
      </c>
      <c r="E122" t="s">
        <v>283</v>
      </c>
      <c r="F122" t="s">
        <v>57</v>
      </c>
      <c r="G122" t="s">
        <v>284</v>
      </c>
      <c r="H122" t="s">
        <v>299</v>
      </c>
      <c r="I122" t="s">
        <v>299</v>
      </c>
      <c r="J122" t="s">
        <v>320</v>
      </c>
      <c r="K122" t="s">
        <v>577</v>
      </c>
      <c r="L122">
        <f>LEN(Tabela13[[#This Row],[Largura de copa (metros)]])</f>
        <v>4</v>
      </c>
      <c r="M122" t="str">
        <f>LEFT(Tabela13[[#This Row],[Largura de copa (metros)]],LEN(Tabela13[[#This Row],[Largura de copa (metros)]])-1)</f>
        <v>2-5</v>
      </c>
      <c r="N122" s="126" t="s">
        <v>1001</v>
      </c>
      <c r="O122" s="126" t="str">
        <f>"="&amp;Tabela13[[#This Row],[Coluna1]]</f>
        <v>=2-5</v>
      </c>
      <c r="P122" s="126">
        <f>2+5</f>
        <v>7</v>
      </c>
      <c r="Q122" s="126">
        <f>Tabela13[[#This Row],[Coluna 23]]/2</f>
        <v>3.5</v>
      </c>
      <c r="R122" t="s">
        <v>495</v>
      </c>
      <c r="S122" t="s">
        <v>401</v>
      </c>
      <c r="T122" t="s">
        <v>291</v>
      </c>
      <c r="U122" t="s">
        <v>378</v>
      </c>
      <c r="V122" t="s">
        <v>299</v>
      </c>
      <c r="W122" t="s">
        <v>299</v>
      </c>
      <c r="X122" t="s">
        <v>299</v>
      </c>
      <c r="Y122" t="s">
        <v>299</v>
      </c>
      <c r="Z122" t="s">
        <v>299</v>
      </c>
      <c r="AA122" t="s">
        <v>299</v>
      </c>
      <c r="AB122" t="s">
        <v>299</v>
      </c>
      <c r="AC122" t="s">
        <v>299</v>
      </c>
    </row>
    <row r="123" spans="1:29">
      <c r="A123" s="117" t="s">
        <v>738</v>
      </c>
      <c r="B123" t="s">
        <v>739</v>
      </c>
      <c r="C123" s="117" t="s">
        <v>740</v>
      </c>
      <c r="D123" t="s">
        <v>741</v>
      </c>
      <c r="E123" t="s">
        <v>353</v>
      </c>
      <c r="F123" t="s">
        <v>57</v>
      </c>
      <c r="G123" t="s">
        <v>284</v>
      </c>
      <c r="H123" t="s">
        <v>299</v>
      </c>
      <c r="I123" t="s">
        <v>299</v>
      </c>
      <c r="J123" t="s">
        <v>299</v>
      </c>
      <c r="K123" t="s">
        <v>340</v>
      </c>
      <c r="L123">
        <f>LEN(Tabela13[[#This Row],[Largura de copa (metros)]])</f>
        <v>4</v>
      </c>
      <c r="M123" t="str">
        <f>LEFT(Tabela13[[#This Row],[Largura de copa (metros)]],LEN(Tabela13[[#This Row],[Largura de copa (metros)]])-1)</f>
        <v>2-3</v>
      </c>
      <c r="N123" s="126" t="s">
        <v>973</v>
      </c>
      <c r="O123" s="126" t="str">
        <f>"="&amp;Tabela13[[#This Row],[Coluna1]]</f>
        <v>=2-3</v>
      </c>
      <c r="P123" s="126">
        <f>2+3</f>
        <v>5</v>
      </c>
      <c r="Q123" s="126">
        <f>Tabela13[[#This Row],[Coluna 23]]/2</f>
        <v>2.5</v>
      </c>
      <c r="R123" t="s">
        <v>306</v>
      </c>
      <c r="S123" t="s">
        <v>340</v>
      </c>
      <c r="T123" t="s">
        <v>342</v>
      </c>
      <c r="U123" t="s">
        <v>307</v>
      </c>
      <c r="V123" t="s">
        <v>299</v>
      </c>
      <c r="W123" t="s">
        <v>299</v>
      </c>
      <c r="X123" t="s">
        <v>299</v>
      </c>
      <c r="Y123" t="s">
        <v>299</v>
      </c>
      <c r="Z123" t="s">
        <v>299</v>
      </c>
      <c r="AA123" t="s">
        <v>299</v>
      </c>
      <c r="AB123" t="s">
        <v>299</v>
      </c>
      <c r="AC123" t="s">
        <v>299</v>
      </c>
    </row>
    <row r="124" spans="1:29">
      <c r="A124" s="117" t="s">
        <v>742</v>
      </c>
      <c r="B124" s="121" t="s">
        <v>743</v>
      </c>
      <c r="C124" s="117" t="s">
        <v>744</v>
      </c>
      <c r="D124" t="s">
        <v>618</v>
      </c>
      <c r="E124" s="124" t="s">
        <v>283</v>
      </c>
      <c r="F124" t="s">
        <v>57</v>
      </c>
      <c r="G124" t="s">
        <v>284</v>
      </c>
      <c r="H124" t="s">
        <v>468</v>
      </c>
      <c r="I124" t="s">
        <v>285</v>
      </c>
      <c r="J124" t="s">
        <v>312</v>
      </c>
      <c r="K124" t="s">
        <v>464</v>
      </c>
      <c r="L124">
        <f>LEN(Tabela13[[#This Row],[Largura de copa (metros)]])</f>
        <v>4</v>
      </c>
      <c r="M124" t="str">
        <f>LEFT(Tabela13[[#This Row],[Largura de copa (metros)]],LEN(Tabela13[[#This Row],[Largura de copa (metros)]])-1)</f>
        <v>5-7</v>
      </c>
      <c r="N124" s="126" t="s">
        <v>986</v>
      </c>
      <c r="O124" s="126" t="str">
        <f>"="&amp;Tabela13[[#This Row],[Coluna1]]</f>
        <v>=5-7</v>
      </c>
      <c r="P124" s="126">
        <f>5+7</f>
        <v>12</v>
      </c>
      <c r="Q124" s="126">
        <f>Tabela13[[#This Row],[Coluna 23]]/2</f>
        <v>6</v>
      </c>
      <c r="R124" t="s">
        <v>519</v>
      </c>
      <c r="S124" t="s">
        <v>305</v>
      </c>
      <c r="T124" t="s">
        <v>291</v>
      </c>
      <c r="U124" t="s">
        <v>322</v>
      </c>
      <c r="V124" t="s">
        <v>313</v>
      </c>
      <c r="W124" t="s">
        <v>294</v>
      </c>
      <c r="X124" t="s">
        <v>390</v>
      </c>
      <c r="Y124" t="s">
        <v>294</v>
      </c>
      <c r="Z124" t="s">
        <v>310</v>
      </c>
      <c r="AA124" t="s">
        <v>311</v>
      </c>
      <c r="AB124" t="s">
        <v>298</v>
      </c>
      <c r="AC124" t="s">
        <v>385</v>
      </c>
    </row>
    <row r="125" spans="1:29">
      <c r="A125" s="117" t="s">
        <v>745</v>
      </c>
      <c r="B125" t="s">
        <v>746</v>
      </c>
      <c r="C125" s="117" t="s">
        <v>744</v>
      </c>
      <c r="D125" t="s">
        <v>618</v>
      </c>
      <c r="E125" t="s">
        <v>353</v>
      </c>
      <c r="F125" t="s">
        <v>57</v>
      </c>
      <c r="G125" t="s">
        <v>284</v>
      </c>
      <c r="H125" t="s">
        <v>468</v>
      </c>
      <c r="I125" t="s">
        <v>303</v>
      </c>
      <c r="J125" t="s">
        <v>312</v>
      </c>
      <c r="K125" t="s">
        <v>551</v>
      </c>
      <c r="L125">
        <f>LEN(Tabela13[[#This Row],[Largura de copa (metros)]])</f>
        <v>4</v>
      </c>
      <c r="M125" t="str">
        <f>LEFT(Tabela13[[#This Row],[Largura de copa (metros)]],LEN(Tabela13[[#This Row],[Largura de copa (metros)]])-1)</f>
        <v>4-5</v>
      </c>
      <c r="N125" s="126" t="s">
        <v>992</v>
      </c>
      <c r="O125" s="126" t="str">
        <f>"="&amp;Tabela13[[#This Row],[Coluna1]]</f>
        <v>=4-5</v>
      </c>
      <c r="P125" s="126">
        <f>4+5</f>
        <v>9</v>
      </c>
      <c r="Q125" s="126">
        <f>Tabela13[[#This Row],[Coluna 23]]/2</f>
        <v>4.5</v>
      </c>
      <c r="R125" t="s">
        <v>435</v>
      </c>
      <c r="S125" t="s">
        <v>488</v>
      </c>
      <c r="T125" t="s">
        <v>342</v>
      </c>
      <c r="U125" t="s">
        <v>378</v>
      </c>
      <c r="V125" t="s">
        <v>408</v>
      </c>
      <c r="W125" t="s">
        <v>294</v>
      </c>
      <c r="X125" t="s">
        <v>390</v>
      </c>
      <c r="Y125" t="s">
        <v>294</v>
      </c>
      <c r="Z125" t="s">
        <v>310</v>
      </c>
      <c r="AA125" t="s">
        <v>311</v>
      </c>
      <c r="AB125" t="s">
        <v>298</v>
      </c>
      <c r="AC125" t="s">
        <v>385</v>
      </c>
    </row>
    <row r="126" spans="1:29">
      <c r="A126" s="117" t="s">
        <v>747</v>
      </c>
      <c r="B126" t="s">
        <v>748</v>
      </c>
      <c r="C126" s="117" t="s">
        <v>749</v>
      </c>
      <c r="D126" t="s">
        <v>382</v>
      </c>
      <c r="E126" s="121" t="s">
        <v>283</v>
      </c>
      <c r="F126" t="s">
        <v>57</v>
      </c>
      <c r="G126" t="s">
        <v>319</v>
      </c>
      <c r="H126" t="s">
        <v>468</v>
      </c>
      <c r="I126" t="s">
        <v>285</v>
      </c>
      <c r="J126" t="s">
        <v>304</v>
      </c>
      <c r="K126" t="s">
        <v>305</v>
      </c>
      <c r="L126">
        <f>LEN(Tabela13[[#This Row],[Largura de copa (metros)]])</f>
        <v>4</v>
      </c>
      <c r="M126" t="str">
        <f>LEFT(Tabela13[[#This Row],[Largura de copa (metros)]],LEN(Tabela13[[#This Row],[Largura de copa (metros)]])-1)</f>
        <v>4-6</v>
      </c>
      <c r="N126" s="126" t="s">
        <v>969</v>
      </c>
      <c r="O126" s="126" t="str">
        <f>"="&amp;Tabela13[[#This Row],[Coluna1]]</f>
        <v>=4-6</v>
      </c>
      <c r="P126" s="126">
        <f>4+6</f>
        <v>10</v>
      </c>
      <c r="Q126" s="126">
        <f>Tabela13[[#This Row],[Coluna 23]]/2</f>
        <v>5</v>
      </c>
      <c r="R126" t="s">
        <v>750</v>
      </c>
      <c r="S126" t="s">
        <v>306</v>
      </c>
      <c r="T126" t="s">
        <v>291</v>
      </c>
      <c r="U126" t="s">
        <v>292</v>
      </c>
      <c r="V126" t="s">
        <v>308</v>
      </c>
      <c r="W126" t="s">
        <v>298</v>
      </c>
      <c r="X126" t="s">
        <v>309</v>
      </c>
      <c r="Y126" t="s">
        <v>294</v>
      </c>
      <c r="Z126" t="s">
        <v>310</v>
      </c>
      <c r="AA126" t="s">
        <v>297</v>
      </c>
      <c r="AB126" t="s">
        <v>294</v>
      </c>
      <c r="AC126" t="s">
        <v>299</v>
      </c>
    </row>
    <row r="127" spans="1:29">
      <c r="A127" s="117" t="s">
        <v>751</v>
      </c>
      <c r="B127" t="s">
        <v>752</v>
      </c>
      <c r="C127" s="117" t="s">
        <v>753</v>
      </c>
      <c r="D127" t="s">
        <v>523</v>
      </c>
      <c r="E127" t="s">
        <v>283</v>
      </c>
      <c r="F127" t="s">
        <v>57</v>
      </c>
      <c r="G127" t="s">
        <v>319</v>
      </c>
      <c r="H127" t="s">
        <v>285</v>
      </c>
      <c r="I127" t="s">
        <v>285</v>
      </c>
      <c r="J127" t="s">
        <v>564</v>
      </c>
      <c r="K127" t="s">
        <v>626</v>
      </c>
      <c r="L127">
        <f>LEN(Tabela13[[#This Row],[Largura de copa (metros)]])</f>
        <v>5</v>
      </c>
      <c r="M127" t="str">
        <f>LEFT(Tabela13[[#This Row],[Largura de copa (metros)]],LEN(Tabela13[[#This Row],[Largura de copa (metros)]])-1)</f>
        <v>6-12</v>
      </c>
      <c r="N127" s="126" t="s">
        <v>1005</v>
      </c>
      <c r="O127" s="126" t="str">
        <f>"="&amp;Tabela13[[#This Row],[Coluna1]]</f>
        <v>=6-12</v>
      </c>
      <c r="P127" s="126">
        <f>6+12</f>
        <v>18</v>
      </c>
      <c r="Q127" s="126">
        <f>Tabela13[[#This Row],[Coluna 23]]/2</f>
        <v>9</v>
      </c>
      <c r="R127" t="s">
        <v>402</v>
      </c>
      <c r="S127" t="s">
        <v>495</v>
      </c>
      <c r="T127" t="s">
        <v>291</v>
      </c>
      <c r="U127" t="s">
        <v>322</v>
      </c>
      <c r="V127" t="s">
        <v>308</v>
      </c>
      <c r="W127" t="s">
        <v>294</v>
      </c>
      <c r="X127" t="s">
        <v>309</v>
      </c>
      <c r="Y127" t="s">
        <v>325</v>
      </c>
      <c r="Z127" t="s">
        <v>310</v>
      </c>
      <c r="AA127" t="s">
        <v>297</v>
      </c>
      <c r="AB127" t="s">
        <v>298</v>
      </c>
      <c r="AC127" t="s">
        <v>565</v>
      </c>
    </row>
    <row r="128" spans="1:29">
      <c r="A128" s="117" t="s">
        <v>754</v>
      </c>
      <c r="B128" t="s">
        <v>755</v>
      </c>
      <c r="C128" s="117" t="s">
        <v>756</v>
      </c>
      <c r="D128" t="s">
        <v>757</v>
      </c>
      <c r="E128" t="s">
        <v>283</v>
      </c>
      <c r="F128" t="s">
        <v>57</v>
      </c>
      <c r="G128" t="s">
        <v>284</v>
      </c>
      <c r="H128" t="s">
        <v>468</v>
      </c>
      <c r="I128" t="s">
        <v>286</v>
      </c>
      <c r="J128" t="s">
        <v>547</v>
      </c>
      <c r="K128" t="s">
        <v>305</v>
      </c>
      <c r="L128">
        <f>LEN(Tabela13[[#This Row],[Largura de copa (metros)]])</f>
        <v>4</v>
      </c>
      <c r="M128" t="str">
        <f>LEFT(Tabela13[[#This Row],[Largura de copa (metros)]],LEN(Tabela13[[#This Row],[Largura de copa (metros)]])-1)</f>
        <v>4-6</v>
      </c>
      <c r="N128" s="126" t="s">
        <v>969</v>
      </c>
      <c r="O128" s="126" t="str">
        <f>"="&amp;Tabela13[[#This Row],[Coluna1]]</f>
        <v>=4-6</v>
      </c>
      <c r="P128" s="126">
        <f>4+6</f>
        <v>10</v>
      </c>
      <c r="Q128" s="126">
        <f>Tabela13[[#This Row],[Coluna 23]]/2</f>
        <v>5</v>
      </c>
      <c r="R128" t="s">
        <v>360</v>
      </c>
      <c r="S128" t="s">
        <v>306</v>
      </c>
      <c r="T128" t="s">
        <v>291</v>
      </c>
      <c r="U128" t="s">
        <v>292</v>
      </c>
      <c r="V128" t="s">
        <v>308</v>
      </c>
      <c r="W128" t="s">
        <v>294</v>
      </c>
      <c r="X128" t="s">
        <v>390</v>
      </c>
      <c r="Y128" t="s">
        <v>294</v>
      </c>
      <c r="Z128" t="s">
        <v>310</v>
      </c>
      <c r="AA128" t="s">
        <v>311</v>
      </c>
      <c r="AB128" t="s">
        <v>298</v>
      </c>
      <c r="AC128" t="s">
        <v>314</v>
      </c>
    </row>
    <row r="129" spans="1:29">
      <c r="A129" s="117" t="s">
        <v>758</v>
      </c>
      <c r="B129" t="s">
        <v>759</v>
      </c>
      <c r="C129" s="117" t="s">
        <v>756</v>
      </c>
      <c r="D129" t="s">
        <v>757</v>
      </c>
      <c r="E129" t="s">
        <v>283</v>
      </c>
      <c r="F129" t="s">
        <v>57</v>
      </c>
      <c r="G129" t="s">
        <v>284</v>
      </c>
      <c r="H129" t="s">
        <v>468</v>
      </c>
      <c r="I129" t="s">
        <v>286</v>
      </c>
      <c r="J129" t="s">
        <v>547</v>
      </c>
      <c r="K129" t="s">
        <v>305</v>
      </c>
      <c r="L129">
        <f>LEN(Tabela13[[#This Row],[Largura de copa (metros)]])</f>
        <v>4</v>
      </c>
      <c r="M129" t="str">
        <f>LEFT(Tabela13[[#This Row],[Largura de copa (metros)]],LEN(Tabela13[[#This Row],[Largura de copa (metros)]])-1)</f>
        <v>4-6</v>
      </c>
      <c r="N129" s="126" t="s">
        <v>969</v>
      </c>
      <c r="O129" s="126" t="str">
        <f>"="&amp;Tabela13[[#This Row],[Coluna1]]</f>
        <v>=4-6</v>
      </c>
      <c r="P129" s="126">
        <f>4+6</f>
        <v>10</v>
      </c>
      <c r="Q129" s="126">
        <f>Tabela13[[#This Row],[Coluna 23]]/2</f>
        <v>5</v>
      </c>
      <c r="R129" t="s">
        <v>471</v>
      </c>
      <c r="S129" t="s">
        <v>306</v>
      </c>
      <c r="T129" t="s">
        <v>291</v>
      </c>
      <c r="U129" t="s">
        <v>292</v>
      </c>
      <c r="V129" t="s">
        <v>308</v>
      </c>
      <c r="W129" t="s">
        <v>294</v>
      </c>
      <c r="X129" t="s">
        <v>390</v>
      </c>
      <c r="Y129" t="s">
        <v>294</v>
      </c>
      <c r="Z129" t="s">
        <v>310</v>
      </c>
      <c r="AA129" t="s">
        <v>311</v>
      </c>
      <c r="AB129" t="s">
        <v>298</v>
      </c>
      <c r="AC129" t="s">
        <v>314</v>
      </c>
    </row>
    <row r="130" spans="1:29">
      <c r="A130" s="117" t="s">
        <v>760</v>
      </c>
      <c r="B130" t="s">
        <v>761</v>
      </c>
      <c r="C130" s="117" t="s">
        <v>762</v>
      </c>
      <c r="D130" t="s">
        <v>540</v>
      </c>
      <c r="E130" t="s">
        <v>283</v>
      </c>
      <c r="F130" t="s">
        <v>57</v>
      </c>
      <c r="G130" t="s">
        <v>284</v>
      </c>
      <c r="H130" t="s">
        <v>299</v>
      </c>
      <c r="I130" t="s">
        <v>299</v>
      </c>
      <c r="J130" t="s">
        <v>454</v>
      </c>
      <c r="K130" t="s">
        <v>763</v>
      </c>
      <c r="L130">
        <f>LEN(Tabela13[[#This Row],[Largura de copa (metros)]])</f>
        <v>2</v>
      </c>
      <c r="M130" t="str">
        <f>LEFT(Tabela13[[#This Row],[Largura de copa (metros)]],LEN(Tabela13[[#This Row],[Largura de copa (metros)]])-1)</f>
        <v>3</v>
      </c>
      <c r="N130" s="126" t="s">
        <v>1006</v>
      </c>
      <c r="O130" s="126" t="str">
        <f>"="&amp;Tabela13[[#This Row],[Coluna1]]</f>
        <v>=3</v>
      </c>
      <c r="P130" s="126">
        <v>3</v>
      </c>
      <c r="Q130" s="126">
        <f>Tabela13[[#This Row],[Coluna 23]]/2</f>
        <v>1.5</v>
      </c>
      <c r="R130" t="s">
        <v>763</v>
      </c>
      <c r="S130" t="s">
        <v>763</v>
      </c>
      <c r="T130" t="s">
        <v>342</v>
      </c>
      <c r="U130" t="s">
        <v>307</v>
      </c>
      <c r="V130" t="s">
        <v>299</v>
      </c>
      <c r="W130" t="s">
        <v>299</v>
      </c>
      <c r="X130" t="s">
        <v>299</v>
      </c>
      <c r="Y130" t="s">
        <v>299</v>
      </c>
      <c r="Z130" t="s">
        <v>323</v>
      </c>
      <c r="AA130" t="s">
        <v>324</v>
      </c>
      <c r="AB130" t="s">
        <v>299</v>
      </c>
      <c r="AC130" t="s">
        <v>299</v>
      </c>
    </row>
    <row r="131" spans="1:29">
      <c r="A131" s="117" t="s">
        <v>764</v>
      </c>
      <c r="B131" t="s">
        <v>761</v>
      </c>
      <c r="C131" s="117" t="s">
        <v>762</v>
      </c>
      <c r="D131" t="s">
        <v>540</v>
      </c>
      <c r="E131" t="s">
        <v>283</v>
      </c>
      <c r="F131" t="s">
        <v>57</v>
      </c>
      <c r="G131" t="s">
        <v>284</v>
      </c>
      <c r="H131" t="s">
        <v>302</v>
      </c>
      <c r="I131" t="s">
        <v>303</v>
      </c>
      <c r="J131" t="s">
        <v>765</v>
      </c>
      <c r="K131" t="s">
        <v>341</v>
      </c>
      <c r="L131">
        <f>LEN(Tabela13[[#This Row],[Largura de copa (metros)]])</f>
        <v>4</v>
      </c>
      <c r="M131" t="str">
        <f>LEFT(Tabela13[[#This Row],[Largura de copa (metros)]],LEN(Tabela13[[#This Row],[Largura de copa (metros)]])-1)</f>
        <v>3-6</v>
      </c>
      <c r="N131" s="126" t="s">
        <v>1007</v>
      </c>
      <c r="O131" s="126" t="str">
        <f>"="&amp;Tabela13[[#This Row],[Coluna1]]</f>
        <v>=3-6</v>
      </c>
      <c r="P131" s="126">
        <f>3+6</f>
        <v>9</v>
      </c>
      <c r="Q131" s="126">
        <f>Tabela13[[#This Row],[Coluna 23]]/2</f>
        <v>4.5</v>
      </c>
      <c r="R131" t="s">
        <v>510</v>
      </c>
      <c r="S131" t="s">
        <v>306</v>
      </c>
      <c r="T131" t="s">
        <v>291</v>
      </c>
      <c r="U131" t="s">
        <v>378</v>
      </c>
      <c r="V131" t="s">
        <v>308</v>
      </c>
      <c r="W131" t="s">
        <v>294</v>
      </c>
      <c r="X131" t="s">
        <v>309</v>
      </c>
      <c r="Y131" t="s">
        <v>298</v>
      </c>
      <c r="Z131" t="s">
        <v>323</v>
      </c>
      <c r="AA131" t="s">
        <v>324</v>
      </c>
      <c r="AB131" t="s">
        <v>299</v>
      </c>
      <c r="AC131" t="s">
        <v>299</v>
      </c>
    </row>
    <row r="132" spans="1:29">
      <c r="A132" s="117" t="s">
        <v>766</v>
      </c>
      <c r="B132" t="s">
        <v>767</v>
      </c>
      <c r="C132" s="117" t="s">
        <v>768</v>
      </c>
      <c r="D132" t="s">
        <v>282</v>
      </c>
      <c r="E132" t="s">
        <v>283</v>
      </c>
      <c r="F132" t="s">
        <v>57</v>
      </c>
      <c r="G132" t="s">
        <v>284</v>
      </c>
      <c r="H132" t="s">
        <v>302</v>
      </c>
      <c r="I132" t="s">
        <v>286</v>
      </c>
      <c r="J132" t="s">
        <v>424</v>
      </c>
      <c r="K132" t="s">
        <v>769</v>
      </c>
      <c r="L132">
        <f>LEN(Tabela13[[#This Row],[Largura de copa (metros)]])</f>
        <v>6</v>
      </c>
      <c r="M132" t="str">
        <f>LEFT(Tabela13[[#This Row],[Largura de copa (metros)]],LEN(Tabela13[[#This Row],[Largura de copa (metros)]])-1)</f>
        <v>10-16</v>
      </c>
      <c r="N132" s="126" t="s">
        <v>1008</v>
      </c>
      <c r="O132" s="126" t="str">
        <f>"="&amp;Tabela13[[#This Row],[Coluna1]]</f>
        <v>=10-16</v>
      </c>
      <c r="P132" s="126">
        <f>10+16</f>
        <v>26</v>
      </c>
      <c r="Q132" s="126">
        <f>Tabela13[[#This Row],[Coluna 23]]/2</f>
        <v>13</v>
      </c>
      <c r="R132" t="s">
        <v>692</v>
      </c>
      <c r="S132" t="s">
        <v>321</v>
      </c>
      <c r="T132" t="s">
        <v>362</v>
      </c>
      <c r="U132" t="s">
        <v>292</v>
      </c>
      <c r="V132" t="s">
        <v>384</v>
      </c>
      <c r="W132" t="s">
        <v>294</v>
      </c>
      <c r="X132" t="s">
        <v>295</v>
      </c>
      <c r="Y132" t="s">
        <v>298</v>
      </c>
      <c r="Z132" t="s">
        <v>296</v>
      </c>
      <c r="AA132" t="s">
        <v>324</v>
      </c>
      <c r="AB132" t="s">
        <v>298</v>
      </c>
      <c r="AC132" t="s">
        <v>385</v>
      </c>
    </row>
    <row r="133" spans="1:29">
      <c r="A133" s="117" t="s">
        <v>770</v>
      </c>
      <c r="B133" t="s">
        <v>771</v>
      </c>
      <c r="C133" s="117" t="s">
        <v>768</v>
      </c>
      <c r="D133" t="s">
        <v>282</v>
      </c>
      <c r="E133" t="s">
        <v>283</v>
      </c>
      <c r="F133" t="s">
        <v>57</v>
      </c>
      <c r="G133" t="s">
        <v>284</v>
      </c>
      <c r="H133" t="s">
        <v>468</v>
      </c>
      <c r="I133" t="s">
        <v>286</v>
      </c>
      <c r="J133" t="s">
        <v>424</v>
      </c>
      <c r="K133" t="s">
        <v>341</v>
      </c>
      <c r="L133">
        <f>LEN(Tabela13[[#This Row],[Largura de copa (metros)]])</f>
        <v>4</v>
      </c>
      <c r="M133" t="str">
        <f>LEFT(Tabela13[[#This Row],[Largura de copa (metros)]],LEN(Tabela13[[#This Row],[Largura de copa (metros)]])-1)</f>
        <v>3-6</v>
      </c>
      <c r="N133" s="126" t="s">
        <v>1007</v>
      </c>
      <c r="O133" s="126" t="str">
        <f>"="&amp;Tabela13[[#This Row],[Coluna1]]</f>
        <v>=3-6</v>
      </c>
      <c r="P133" s="126">
        <f>3+6</f>
        <v>9</v>
      </c>
      <c r="Q133" s="126">
        <f>Tabela13[[#This Row],[Coluna 23]]/2</f>
        <v>4.5</v>
      </c>
      <c r="R133" t="s">
        <v>554</v>
      </c>
      <c r="S133" t="s">
        <v>306</v>
      </c>
      <c r="T133" t="s">
        <v>291</v>
      </c>
      <c r="U133" t="s">
        <v>292</v>
      </c>
      <c r="V133" t="s">
        <v>384</v>
      </c>
      <c r="W133" t="s">
        <v>294</v>
      </c>
      <c r="X133" t="s">
        <v>309</v>
      </c>
      <c r="Y133" t="s">
        <v>325</v>
      </c>
      <c r="Z133" t="s">
        <v>296</v>
      </c>
      <c r="AA133" t="s">
        <v>324</v>
      </c>
      <c r="AB133" t="s">
        <v>298</v>
      </c>
      <c r="AC133" t="s">
        <v>385</v>
      </c>
    </row>
    <row r="134" spans="1:29">
      <c r="A134" s="117" t="s">
        <v>772</v>
      </c>
      <c r="B134" t="s">
        <v>773</v>
      </c>
      <c r="C134" s="117" t="s">
        <v>768</v>
      </c>
      <c r="D134" t="s">
        <v>282</v>
      </c>
      <c r="E134" t="s">
        <v>283</v>
      </c>
      <c r="F134" t="s">
        <v>57</v>
      </c>
      <c r="G134" t="s">
        <v>284</v>
      </c>
      <c r="H134" t="s">
        <v>299</v>
      </c>
      <c r="I134" t="s">
        <v>286</v>
      </c>
      <c r="J134" t="s">
        <v>287</v>
      </c>
      <c r="K134" t="s">
        <v>372</v>
      </c>
      <c r="L134">
        <f>LEN(Tabela13[[#This Row],[Largura de copa (metros)]])</f>
        <v>5</v>
      </c>
      <c r="M134" t="str">
        <f>LEFT(Tabela13[[#This Row],[Largura de copa (metros)]],LEN(Tabela13[[#This Row],[Largura de copa (metros)]])-1)</f>
        <v>6-10</v>
      </c>
      <c r="N134" s="126" t="s">
        <v>980</v>
      </c>
      <c r="O134" s="126" t="str">
        <f>"="&amp;Tabela13[[#This Row],[Coluna1]]</f>
        <v>=6-10</v>
      </c>
      <c r="P134" s="126">
        <f>6+10</f>
        <v>16</v>
      </c>
      <c r="Q134" s="126">
        <f>Tabela13[[#This Row],[Coluna 23]]/2</f>
        <v>8</v>
      </c>
      <c r="R134" t="s">
        <v>354</v>
      </c>
      <c r="S134" t="s">
        <v>327</v>
      </c>
      <c r="T134" t="s">
        <v>291</v>
      </c>
      <c r="U134" t="s">
        <v>292</v>
      </c>
      <c r="V134" t="s">
        <v>363</v>
      </c>
      <c r="W134" t="s">
        <v>298</v>
      </c>
      <c r="X134" t="s">
        <v>299</v>
      </c>
      <c r="Y134" t="s">
        <v>294</v>
      </c>
      <c r="Z134" t="s">
        <v>323</v>
      </c>
      <c r="AA134" t="s">
        <v>311</v>
      </c>
      <c r="AB134" t="s">
        <v>298</v>
      </c>
      <c r="AC134" t="s">
        <v>299</v>
      </c>
    </row>
    <row r="135" spans="1:29">
      <c r="A135" s="117" t="s">
        <v>774</v>
      </c>
      <c r="B135" t="s">
        <v>775</v>
      </c>
      <c r="C135" s="117" t="s">
        <v>776</v>
      </c>
      <c r="D135" t="s">
        <v>282</v>
      </c>
      <c r="E135" t="s">
        <v>283</v>
      </c>
      <c r="F135" t="s">
        <v>57</v>
      </c>
      <c r="G135" t="s">
        <v>284</v>
      </c>
      <c r="H135" t="s">
        <v>285</v>
      </c>
      <c r="I135" t="s">
        <v>286</v>
      </c>
      <c r="J135" t="s">
        <v>339</v>
      </c>
      <c r="K135" t="s">
        <v>376</v>
      </c>
      <c r="L135">
        <f>LEN(Tabela13[[#This Row],[Largura de copa (metros)]])</f>
        <v>4</v>
      </c>
      <c r="M135" t="str">
        <f>LEFT(Tabela13[[#This Row],[Largura de copa (metros)]],LEN(Tabela13[[#This Row],[Largura de copa (metros)]])-1)</f>
        <v>4-8</v>
      </c>
      <c r="N135" s="126" t="s">
        <v>978</v>
      </c>
      <c r="O135" s="126" t="str">
        <f>"="&amp;Tabela13[[#This Row],[Coluna1]]</f>
        <v>=4-8</v>
      </c>
      <c r="P135" s="126">
        <f>4+8</f>
        <v>12</v>
      </c>
      <c r="Q135" s="126">
        <f>Tabela13[[#This Row],[Coluna 23]]/2</f>
        <v>6</v>
      </c>
      <c r="R135" t="s">
        <v>471</v>
      </c>
      <c r="S135" t="s">
        <v>341</v>
      </c>
      <c r="T135" t="s">
        <v>291</v>
      </c>
      <c r="U135" t="s">
        <v>292</v>
      </c>
      <c r="V135" t="s">
        <v>293</v>
      </c>
      <c r="W135" t="s">
        <v>294</v>
      </c>
      <c r="X135" t="s">
        <v>390</v>
      </c>
      <c r="Y135" t="s">
        <v>294</v>
      </c>
      <c r="Z135" t="s">
        <v>310</v>
      </c>
      <c r="AA135" t="s">
        <v>297</v>
      </c>
      <c r="AB135" t="s">
        <v>298</v>
      </c>
      <c r="AC135" t="s">
        <v>385</v>
      </c>
    </row>
    <row r="136" spans="1:29">
      <c r="A136" s="117" t="s">
        <v>777</v>
      </c>
      <c r="B136" t="s">
        <v>778</v>
      </c>
      <c r="C136" s="117" t="s">
        <v>776</v>
      </c>
      <c r="D136" t="s">
        <v>282</v>
      </c>
      <c r="E136" t="s">
        <v>353</v>
      </c>
      <c r="F136" t="s">
        <v>57</v>
      </c>
      <c r="G136" t="s">
        <v>284</v>
      </c>
      <c r="H136" t="s">
        <v>302</v>
      </c>
      <c r="I136" t="s">
        <v>286</v>
      </c>
      <c r="J136" t="s">
        <v>287</v>
      </c>
      <c r="K136" t="s">
        <v>626</v>
      </c>
      <c r="L136">
        <f>LEN(Tabela13[[#This Row],[Largura de copa (metros)]])</f>
        <v>5</v>
      </c>
      <c r="M136" t="str">
        <f>LEFT(Tabela13[[#This Row],[Largura de copa (metros)]],LEN(Tabela13[[#This Row],[Largura de copa (metros)]])-1)</f>
        <v>6-12</v>
      </c>
      <c r="N136" s="126" t="s">
        <v>1005</v>
      </c>
      <c r="O136" s="126" t="str">
        <f>"="&amp;Tabela13[[#This Row],[Coluna1]]</f>
        <v>=6-12</v>
      </c>
      <c r="P136" s="126">
        <f>6+12</f>
        <v>18</v>
      </c>
      <c r="Q136" s="126">
        <f>Tabela13[[#This Row],[Coluna 23]]/2</f>
        <v>9</v>
      </c>
      <c r="R136" t="s">
        <v>371</v>
      </c>
      <c r="S136" t="s">
        <v>495</v>
      </c>
      <c r="T136" t="s">
        <v>362</v>
      </c>
      <c r="U136" t="s">
        <v>292</v>
      </c>
      <c r="V136" t="s">
        <v>363</v>
      </c>
      <c r="W136" t="s">
        <v>294</v>
      </c>
      <c r="X136" t="s">
        <v>390</v>
      </c>
      <c r="Y136" t="s">
        <v>294</v>
      </c>
      <c r="Z136" t="s">
        <v>310</v>
      </c>
      <c r="AA136" t="s">
        <v>297</v>
      </c>
      <c r="AB136" t="s">
        <v>298</v>
      </c>
      <c r="AC136" t="s">
        <v>385</v>
      </c>
    </row>
    <row r="137" spans="1:29">
      <c r="A137" s="117" t="s">
        <v>779</v>
      </c>
      <c r="B137" t="s">
        <v>780</v>
      </c>
      <c r="C137" s="117" t="s">
        <v>776</v>
      </c>
      <c r="D137" t="s">
        <v>282</v>
      </c>
      <c r="E137" t="s">
        <v>353</v>
      </c>
      <c r="F137" t="s">
        <v>57</v>
      </c>
      <c r="G137" t="s">
        <v>284</v>
      </c>
      <c r="H137" t="s">
        <v>285</v>
      </c>
      <c r="I137" t="s">
        <v>286</v>
      </c>
      <c r="J137" t="s">
        <v>564</v>
      </c>
      <c r="K137" t="s">
        <v>626</v>
      </c>
      <c r="L137">
        <f>LEN(Tabela13[[#This Row],[Largura de copa (metros)]])</f>
        <v>5</v>
      </c>
      <c r="M137" t="str">
        <f>LEFT(Tabela13[[#This Row],[Largura de copa (metros)]],LEN(Tabela13[[#This Row],[Largura de copa (metros)]])-1)</f>
        <v>6-12</v>
      </c>
      <c r="N137" s="126" t="s">
        <v>1005</v>
      </c>
      <c r="O137" s="126" t="str">
        <f>"="&amp;Tabela13[[#This Row],[Coluna1]]</f>
        <v>=6-12</v>
      </c>
      <c r="P137" s="126">
        <f>6+12</f>
        <v>18</v>
      </c>
      <c r="Q137" s="126">
        <f>Tabela13[[#This Row],[Coluna 23]]/2</f>
        <v>9</v>
      </c>
      <c r="R137" t="s">
        <v>559</v>
      </c>
      <c r="S137" t="s">
        <v>495</v>
      </c>
      <c r="T137" t="s">
        <v>362</v>
      </c>
      <c r="U137" s="121" t="s">
        <v>292</v>
      </c>
      <c r="V137" t="s">
        <v>363</v>
      </c>
      <c r="W137" t="s">
        <v>294</v>
      </c>
      <c r="X137" t="s">
        <v>390</v>
      </c>
      <c r="Y137" t="s">
        <v>294</v>
      </c>
      <c r="Z137" t="s">
        <v>310</v>
      </c>
      <c r="AA137" t="s">
        <v>297</v>
      </c>
      <c r="AB137" t="s">
        <v>298</v>
      </c>
      <c r="AC137" t="s">
        <v>385</v>
      </c>
    </row>
    <row r="138" spans="1:29">
      <c r="A138" s="117" t="s">
        <v>781</v>
      </c>
      <c r="B138" t="s">
        <v>300</v>
      </c>
      <c r="C138" s="117" t="s">
        <v>776</v>
      </c>
      <c r="D138" t="s">
        <v>282</v>
      </c>
      <c r="E138" t="s">
        <v>300</v>
      </c>
      <c r="F138" t="s">
        <v>57</v>
      </c>
      <c r="G138" t="s">
        <v>284</v>
      </c>
      <c r="H138" t="s">
        <v>300</v>
      </c>
      <c r="I138" t="s">
        <v>300</v>
      </c>
      <c r="J138" t="s">
        <v>300</v>
      </c>
      <c r="K138" t="s">
        <v>376</v>
      </c>
      <c r="L138">
        <f>LEN(Tabela13[[#This Row],[Largura de copa (metros)]])</f>
        <v>4</v>
      </c>
      <c r="M138" t="str">
        <f>LEFT(Tabela13[[#This Row],[Largura de copa (metros)]],LEN(Tabela13[[#This Row],[Largura de copa (metros)]])-1)</f>
        <v>4-8</v>
      </c>
      <c r="N138" s="126" t="s">
        <v>978</v>
      </c>
      <c r="O138" s="126" t="str">
        <f>"="&amp;Tabela13[[#This Row],[Coluna1]]</f>
        <v>=4-8</v>
      </c>
      <c r="P138" s="126">
        <f>4+8</f>
        <v>12</v>
      </c>
      <c r="Q138" s="126">
        <f>Tabela13[[#This Row],[Coluna 23]]/2</f>
        <v>6</v>
      </c>
      <c r="R138" t="s">
        <v>559</v>
      </c>
      <c r="S138" t="s">
        <v>510</v>
      </c>
      <c r="T138" t="s">
        <v>291</v>
      </c>
      <c r="U138" s="121" t="s">
        <v>292</v>
      </c>
      <c r="V138" t="s">
        <v>589</v>
      </c>
      <c r="W138" t="s">
        <v>300</v>
      </c>
      <c r="X138" t="s">
        <v>300</v>
      </c>
      <c r="Y138" t="s">
        <v>294</v>
      </c>
      <c r="Z138" t="s">
        <v>310</v>
      </c>
      <c r="AA138" t="s">
        <v>297</v>
      </c>
      <c r="AB138" t="s">
        <v>298</v>
      </c>
      <c r="AC138" t="s">
        <v>385</v>
      </c>
    </row>
    <row r="139" spans="1:29">
      <c r="A139" s="117" t="s">
        <v>782</v>
      </c>
      <c r="B139" t="s">
        <v>783</v>
      </c>
      <c r="C139" s="117" t="s">
        <v>776</v>
      </c>
      <c r="D139" t="s">
        <v>282</v>
      </c>
      <c r="E139" t="s">
        <v>283</v>
      </c>
      <c r="F139" t="s">
        <v>57</v>
      </c>
      <c r="G139" t="s">
        <v>284</v>
      </c>
      <c r="H139" t="s">
        <v>302</v>
      </c>
      <c r="I139" t="s">
        <v>286</v>
      </c>
      <c r="J139" t="s">
        <v>383</v>
      </c>
      <c r="K139" t="s">
        <v>372</v>
      </c>
      <c r="L139">
        <f>LEN(Tabela13[[#This Row],[Largura de copa (metros)]])</f>
        <v>5</v>
      </c>
      <c r="M139" t="str">
        <f>LEFT(Tabela13[[#This Row],[Largura de copa (metros)]],LEN(Tabela13[[#This Row],[Largura de copa (metros)]])-1)</f>
        <v>6-10</v>
      </c>
      <c r="N139" s="126" t="s">
        <v>980</v>
      </c>
      <c r="O139" s="126" t="str">
        <f>"="&amp;Tabela13[[#This Row],[Coluna1]]</f>
        <v>=6-10</v>
      </c>
      <c r="P139" s="126">
        <f>6+10</f>
        <v>16</v>
      </c>
      <c r="Q139" s="126">
        <f>Tabela13[[#This Row],[Coluna 23]]/2</f>
        <v>8</v>
      </c>
      <c r="R139" t="s">
        <v>371</v>
      </c>
      <c r="S139" t="s">
        <v>376</v>
      </c>
      <c r="T139" t="s">
        <v>291</v>
      </c>
      <c r="U139" t="s">
        <v>292</v>
      </c>
      <c r="V139" t="s">
        <v>363</v>
      </c>
      <c r="W139" t="s">
        <v>299</v>
      </c>
      <c r="X139" t="s">
        <v>299</v>
      </c>
      <c r="Y139" t="s">
        <v>294</v>
      </c>
      <c r="Z139" t="s">
        <v>299</v>
      </c>
      <c r="AA139" t="s">
        <v>297</v>
      </c>
      <c r="AB139" t="s">
        <v>298</v>
      </c>
      <c r="AC139" t="s">
        <v>299</v>
      </c>
    </row>
    <row r="140" spans="1:29">
      <c r="A140" s="117" t="s">
        <v>784</v>
      </c>
      <c r="B140" t="s">
        <v>785</v>
      </c>
      <c r="C140" s="117" t="s">
        <v>776</v>
      </c>
      <c r="D140" t="s">
        <v>282</v>
      </c>
      <c r="E140" t="s">
        <v>353</v>
      </c>
      <c r="F140" t="s">
        <v>57</v>
      </c>
      <c r="G140" t="s">
        <v>284</v>
      </c>
      <c r="I140" t="s">
        <v>286</v>
      </c>
      <c r="J140" t="s">
        <v>287</v>
      </c>
      <c r="K140" t="s">
        <v>626</v>
      </c>
      <c r="L140">
        <f>LEN(Tabela13[[#This Row],[Largura de copa (metros)]])</f>
        <v>5</v>
      </c>
      <c r="M140" t="str">
        <f>LEFT(Tabela13[[#This Row],[Largura de copa (metros)]],LEN(Tabela13[[#This Row],[Largura de copa (metros)]])-1)</f>
        <v>6-12</v>
      </c>
      <c r="N140" s="126" t="s">
        <v>1005</v>
      </c>
      <c r="O140" s="126" t="str">
        <f>"="&amp;Tabela13[[#This Row],[Coluna1]]</f>
        <v>=6-12</v>
      </c>
      <c r="P140" s="126">
        <f>6+12</f>
        <v>18</v>
      </c>
      <c r="Q140" s="126">
        <f>Tabela13[[#This Row],[Coluna 23]]/2</f>
        <v>9</v>
      </c>
      <c r="R140" t="s">
        <v>786</v>
      </c>
      <c r="S140" t="s">
        <v>495</v>
      </c>
      <c r="T140" t="s">
        <v>362</v>
      </c>
      <c r="U140" t="s">
        <v>292</v>
      </c>
      <c r="V140" t="s">
        <v>293</v>
      </c>
      <c r="W140" t="s">
        <v>294</v>
      </c>
      <c r="X140" t="s">
        <v>295</v>
      </c>
      <c r="Y140" t="s">
        <v>294</v>
      </c>
      <c r="Z140" t="s">
        <v>310</v>
      </c>
      <c r="AA140" t="s">
        <v>297</v>
      </c>
      <c r="AC140" t="s">
        <v>385</v>
      </c>
    </row>
    <row r="141" spans="1:29">
      <c r="A141" s="117" t="s">
        <v>787</v>
      </c>
      <c r="B141" t="s">
        <v>788</v>
      </c>
      <c r="C141" s="117" t="s">
        <v>789</v>
      </c>
      <c r="D141" t="s">
        <v>790</v>
      </c>
      <c r="E141" t="s">
        <v>283</v>
      </c>
      <c r="F141" t="s">
        <v>57</v>
      </c>
      <c r="G141" t="s">
        <v>284</v>
      </c>
      <c r="H141" t="s">
        <v>299</v>
      </c>
      <c r="I141" t="s">
        <v>299</v>
      </c>
      <c r="J141" t="s">
        <v>299</v>
      </c>
      <c r="K141" t="s">
        <v>340</v>
      </c>
      <c r="L141">
        <f>LEN(Tabela13[[#This Row],[Largura de copa (metros)]])</f>
        <v>4</v>
      </c>
      <c r="M141" t="str">
        <f>LEFT(Tabela13[[#This Row],[Largura de copa (metros)]],LEN(Tabela13[[#This Row],[Largura de copa (metros)]])-1)</f>
        <v>2-3</v>
      </c>
      <c r="N141" s="126" t="s">
        <v>973</v>
      </c>
      <c r="O141" s="126" t="str">
        <f>"="&amp;Tabela13[[#This Row],[Coluna1]]</f>
        <v>=2-3</v>
      </c>
      <c r="P141" s="126">
        <f>2+3</f>
        <v>5</v>
      </c>
      <c r="Q141" s="126">
        <f>Tabela13[[#This Row],[Coluna 23]]/2</f>
        <v>2.5</v>
      </c>
      <c r="R141" t="s">
        <v>443</v>
      </c>
      <c r="S141" t="s">
        <v>340</v>
      </c>
      <c r="T141" t="s">
        <v>342</v>
      </c>
      <c r="U141" t="s">
        <v>307</v>
      </c>
      <c r="V141" t="s">
        <v>299</v>
      </c>
      <c r="W141" t="s">
        <v>299</v>
      </c>
      <c r="X141" t="s">
        <v>299</v>
      </c>
      <c r="Y141" t="s">
        <v>299</v>
      </c>
      <c r="Z141" t="s">
        <v>299</v>
      </c>
      <c r="AA141" t="s">
        <v>299</v>
      </c>
      <c r="AB141" t="s">
        <v>299</v>
      </c>
      <c r="AC141" t="s">
        <v>299</v>
      </c>
    </row>
    <row r="142" spans="1:29">
      <c r="A142" s="117" t="s">
        <v>791</v>
      </c>
      <c r="B142" t="s">
        <v>788</v>
      </c>
      <c r="C142" s="117" t="s">
        <v>789</v>
      </c>
      <c r="D142" t="s">
        <v>790</v>
      </c>
      <c r="E142" t="s">
        <v>283</v>
      </c>
      <c r="F142" t="s">
        <v>57</v>
      </c>
      <c r="G142" t="s">
        <v>284</v>
      </c>
      <c r="H142" t="s">
        <v>302</v>
      </c>
      <c r="I142" t="s">
        <v>303</v>
      </c>
      <c r="J142" t="s">
        <v>304</v>
      </c>
      <c r="K142" t="s">
        <v>340</v>
      </c>
      <c r="L142">
        <f>LEN(Tabela13[[#This Row],[Largura de copa (metros)]])</f>
        <v>4</v>
      </c>
      <c r="M142" t="str">
        <f>LEFT(Tabela13[[#This Row],[Largura de copa (metros)]],LEN(Tabela13[[#This Row],[Largura de copa (metros)]])-1)</f>
        <v>2-3</v>
      </c>
      <c r="N142" s="126" t="s">
        <v>973</v>
      </c>
      <c r="O142" s="126" t="str">
        <f>"="&amp;Tabela13[[#This Row],[Coluna1]]</f>
        <v>=2-3</v>
      </c>
      <c r="P142" s="126">
        <f>2+3</f>
        <v>5</v>
      </c>
      <c r="Q142" s="126">
        <f>Tabela13[[#This Row],[Coluna 23]]/2</f>
        <v>2.5</v>
      </c>
      <c r="R142" t="s">
        <v>395</v>
      </c>
      <c r="S142" t="s">
        <v>340</v>
      </c>
      <c r="T142" t="s">
        <v>342</v>
      </c>
      <c r="U142" t="s">
        <v>378</v>
      </c>
      <c r="V142" t="s">
        <v>299</v>
      </c>
      <c r="W142" t="s">
        <v>299</v>
      </c>
      <c r="X142" t="s">
        <v>390</v>
      </c>
      <c r="Y142" t="s">
        <v>294</v>
      </c>
      <c r="Z142" t="s">
        <v>323</v>
      </c>
      <c r="AA142" t="s">
        <v>299</v>
      </c>
      <c r="AB142" t="s">
        <v>299</v>
      </c>
      <c r="AC142" t="s">
        <v>299</v>
      </c>
    </row>
    <row r="143" spans="1:29">
      <c r="A143" s="117" t="s">
        <v>792</v>
      </c>
      <c r="B143" t="s">
        <v>793</v>
      </c>
      <c r="C143" s="117" t="s">
        <v>794</v>
      </c>
      <c r="D143" t="s">
        <v>795</v>
      </c>
      <c r="E143" t="s">
        <v>283</v>
      </c>
      <c r="F143" t="s">
        <v>57</v>
      </c>
      <c r="G143" t="s">
        <v>319</v>
      </c>
      <c r="H143" t="s">
        <v>302</v>
      </c>
      <c r="I143" t="s">
        <v>286</v>
      </c>
      <c r="J143" t="s">
        <v>304</v>
      </c>
      <c r="K143" t="s">
        <v>626</v>
      </c>
      <c r="L143">
        <f>LEN(Tabela13[[#This Row],[Largura de copa (metros)]])</f>
        <v>5</v>
      </c>
      <c r="M143" t="str">
        <f>LEFT(Tabela13[[#This Row],[Largura de copa (metros)]],LEN(Tabela13[[#This Row],[Largura de copa (metros)]])-1)</f>
        <v>6-12</v>
      </c>
      <c r="N143" s="126" t="s">
        <v>1005</v>
      </c>
      <c r="O143" s="126" t="str">
        <f>"="&amp;Tabela13[[#This Row],[Coluna1]]</f>
        <v>=6-12</v>
      </c>
      <c r="P143" s="126">
        <f>6+12</f>
        <v>18</v>
      </c>
      <c r="Q143" s="126">
        <f>Tabela13[[#This Row],[Coluna 23]]/2</f>
        <v>9</v>
      </c>
      <c r="R143" t="s">
        <v>354</v>
      </c>
      <c r="S143" t="s">
        <v>495</v>
      </c>
      <c r="T143" t="s">
        <v>362</v>
      </c>
      <c r="U143" t="s">
        <v>292</v>
      </c>
      <c r="V143" t="s">
        <v>293</v>
      </c>
      <c r="W143" t="s">
        <v>294</v>
      </c>
      <c r="X143" t="s">
        <v>309</v>
      </c>
      <c r="Y143" t="s">
        <v>294</v>
      </c>
      <c r="Z143" t="s">
        <v>323</v>
      </c>
      <c r="AA143" t="s">
        <v>311</v>
      </c>
      <c r="AB143" t="s">
        <v>294</v>
      </c>
      <c r="AC143" t="s">
        <v>385</v>
      </c>
    </row>
    <row r="144" spans="1:29" s="119" customFormat="1">
      <c r="A144" s="118" t="s">
        <v>796</v>
      </c>
      <c r="B144" s="119" t="s">
        <v>300</v>
      </c>
      <c r="C144" s="118" t="s">
        <v>794</v>
      </c>
      <c r="D144" s="119" t="s">
        <v>795</v>
      </c>
      <c r="E144" s="119" t="s">
        <v>283</v>
      </c>
      <c r="F144" s="119" t="s">
        <v>57</v>
      </c>
      <c r="G144" s="119" t="s">
        <v>319</v>
      </c>
      <c r="H144" s="119" t="s">
        <v>302</v>
      </c>
      <c r="I144" s="119" t="s">
        <v>286</v>
      </c>
      <c r="J144" s="119" t="s">
        <v>304</v>
      </c>
      <c r="K144" s="119" t="s">
        <v>626</v>
      </c>
      <c r="L144" s="119">
        <f>LEN(Tabela13[[#This Row],[Largura de copa (metros)]])</f>
        <v>5</v>
      </c>
      <c r="M144" s="119" t="str">
        <f>LEFT(Tabela13[[#This Row],[Largura de copa (metros)]],LEN(Tabela13[[#This Row],[Largura de copa (metros)]])-1)</f>
        <v>6-12</v>
      </c>
      <c r="N144" s="128" t="s">
        <v>1005</v>
      </c>
      <c r="O144" s="128" t="str">
        <f>"="&amp;Tabela13[[#This Row],[Coluna1]]</f>
        <v>=6-12</v>
      </c>
      <c r="P144" s="128">
        <f>6+12</f>
        <v>18</v>
      </c>
      <c r="Q144" s="128">
        <f>Tabela13[[#This Row],[Coluna 23]]/2</f>
        <v>9</v>
      </c>
      <c r="R144" t="s">
        <v>354</v>
      </c>
      <c r="S144" s="119" t="s">
        <v>495</v>
      </c>
      <c r="T144" t="s">
        <v>362</v>
      </c>
      <c r="U144" t="s">
        <v>292</v>
      </c>
      <c r="V144" s="119" t="s">
        <v>293</v>
      </c>
      <c r="W144" s="119" t="s">
        <v>294</v>
      </c>
      <c r="X144" s="119" t="s">
        <v>309</v>
      </c>
      <c r="Y144" s="119" t="s">
        <v>294</v>
      </c>
      <c r="Z144" s="119" t="s">
        <v>323</v>
      </c>
      <c r="AA144" t="s">
        <v>311</v>
      </c>
      <c r="AB144" s="119" t="s">
        <v>294</v>
      </c>
      <c r="AC144" s="119" t="s">
        <v>385</v>
      </c>
    </row>
    <row r="145" spans="1:29" s="122" customFormat="1">
      <c r="A145" s="117" t="s">
        <v>797</v>
      </c>
      <c r="B145" t="s">
        <v>798</v>
      </c>
      <c r="C145" s="117" t="s">
        <v>794</v>
      </c>
      <c r="D145" t="s">
        <v>795</v>
      </c>
      <c r="E145" t="s">
        <v>283</v>
      </c>
      <c r="F145" t="s">
        <v>57</v>
      </c>
      <c r="G145" t="s">
        <v>319</v>
      </c>
      <c r="H145" t="s">
        <v>302</v>
      </c>
      <c r="I145" t="s">
        <v>286</v>
      </c>
      <c r="J145" t="s">
        <v>304</v>
      </c>
      <c r="K145" t="s">
        <v>626</v>
      </c>
      <c r="L145">
        <f>LEN(Tabela13[[#This Row],[Largura de copa (metros)]])</f>
        <v>5</v>
      </c>
      <c r="M145" t="str">
        <f>LEFT(Tabela13[[#This Row],[Largura de copa (metros)]],LEN(Tabela13[[#This Row],[Largura de copa (metros)]])-1)</f>
        <v>6-12</v>
      </c>
      <c r="N145" s="126" t="s">
        <v>1005</v>
      </c>
      <c r="O145" s="126" t="str">
        <f>"="&amp;Tabela13[[#This Row],[Coluna1]]</f>
        <v>=6-12</v>
      </c>
      <c r="P145" s="126">
        <f>6+12</f>
        <v>18</v>
      </c>
      <c r="Q145" s="126">
        <f>Tabela13[[#This Row],[Coluna 23]]/2</f>
        <v>9</v>
      </c>
      <c r="R145" t="s">
        <v>371</v>
      </c>
      <c r="S145" t="s">
        <v>495</v>
      </c>
      <c r="T145" t="s">
        <v>362</v>
      </c>
      <c r="U145" t="s">
        <v>292</v>
      </c>
      <c r="V145" t="s">
        <v>293</v>
      </c>
      <c r="W145" t="s">
        <v>294</v>
      </c>
      <c r="X145" t="s">
        <v>309</v>
      </c>
      <c r="Y145" t="s">
        <v>294</v>
      </c>
      <c r="Z145" t="s">
        <v>323</v>
      </c>
      <c r="AA145" t="s">
        <v>311</v>
      </c>
      <c r="AB145" t="s">
        <v>294</v>
      </c>
      <c r="AC145" t="s">
        <v>385</v>
      </c>
    </row>
    <row r="146" spans="1:29" s="122" customFormat="1">
      <c r="A146" s="117" t="s">
        <v>799</v>
      </c>
      <c r="B146" t="s">
        <v>798</v>
      </c>
      <c r="C146" s="117" t="s">
        <v>794</v>
      </c>
      <c r="D146" t="s">
        <v>795</v>
      </c>
      <c r="E146" t="s">
        <v>283</v>
      </c>
      <c r="F146" t="s">
        <v>57</v>
      </c>
      <c r="G146" t="s">
        <v>319</v>
      </c>
      <c r="H146" t="s">
        <v>302</v>
      </c>
      <c r="I146" t="s">
        <v>286</v>
      </c>
      <c r="J146" t="s">
        <v>304</v>
      </c>
      <c r="K146" t="s">
        <v>626</v>
      </c>
      <c r="L146">
        <f>LEN(Tabela13[[#This Row],[Largura de copa (metros)]])</f>
        <v>5</v>
      </c>
      <c r="M146" t="str">
        <f>LEFT(Tabela13[[#This Row],[Largura de copa (metros)]],LEN(Tabela13[[#This Row],[Largura de copa (metros)]])-1)</f>
        <v>6-12</v>
      </c>
      <c r="N146" s="126" t="s">
        <v>1005</v>
      </c>
      <c r="O146" s="126" t="str">
        <f>"="&amp;Tabela13[[#This Row],[Coluna1]]</f>
        <v>=6-12</v>
      </c>
      <c r="P146" s="126">
        <f>6+12</f>
        <v>18</v>
      </c>
      <c r="Q146" s="126">
        <f>Tabela13[[#This Row],[Coluna 23]]/2</f>
        <v>9</v>
      </c>
      <c r="R146" t="s">
        <v>371</v>
      </c>
      <c r="S146" t="s">
        <v>495</v>
      </c>
      <c r="T146" t="s">
        <v>362</v>
      </c>
      <c r="U146" t="s">
        <v>292</v>
      </c>
      <c r="V146" t="s">
        <v>293</v>
      </c>
      <c r="W146" t="s">
        <v>294</v>
      </c>
      <c r="X146" t="s">
        <v>309</v>
      </c>
      <c r="Y146" t="s">
        <v>294</v>
      </c>
      <c r="Z146" t="s">
        <v>323</v>
      </c>
      <c r="AA146" t="s">
        <v>311</v>
      </c>
      <c r="AB146" t="s">
        <v>294</v>
      </c>
      <c r="AC146" t="s">
        <v>385</v>
      </c>
    </row>
    <row r="147" spans="1:29">
      <c r="A147" s="117" t="s">
        <v>800</v>
      </c>
      <c r="B147" t="s">
        <v>798</v>
      </c>
      <c r="C147" s="117" t="s">
        <v>794</v>
      </c>
      <c r="D147" t="s">
        <v>795</v>
      </c>
      <c r="E147" t="s">
        <v>283</v>
      </c>
      <c r="F147" t="s">
        <v>57</v>
      </c>
      <c r="G147" t="s">
        <v>319</v>
      </c>
      <c r="H147" t="s">
        <v>302</v>
      </c>
      <c r="I147" t="s">
        <v>286</v>
      </c>
      <c r="J147" t="s">
        <v>304</v>
      </c>
      <c r="K147" t="s">
        <v>626</v>
      </c>
      <c r="L147">
        <f>LEN(Tabela13[[#This Row],[Largura de copa (metros)]])</f>
        <v>5</v>
      </c>
      <c r="M147" t="str">
        <f>LEFT(Tabela13[[#This Row],[Largura de copa (metros)]],LEN(Tabela13[[#This Row],[Largura de copa (metros)]])-1)</f>
        <v>6-12</v>
      </c>
      <c r="N147" s="126" t="s">
        <v>1005</v>
      </c>
      <c r="O147" s="126" t="str">
        <f>"="&amp;Tabela13[[#This Row],[Coluna1]]</f>
        <v>=6-12</v>
      </c>
      <c r="P147" s="126">
        <f>6+12</f>
        <v>18</v>
      </c>
      <c r="Q147" s="126">
        <f>Tabela13[[#This Row],[Coluna 23]]/2</f>
        <v>9</v>
      </c>
      <c r="R147" t="s">
        <v>371</v>
      </c>
      <c r="S147" t="s">
        <v>495</v>
      </c>
      <c r="T147" t="s">
        <v>362</v>
      </c>
      <c r="U147" t="s">
        <v>292</v>
      </c>
      <c r="V147" t="s">
        <v>293</v>
      </c>
      <c r="W147" t="s">
        <v>294</v>
      </c>
      <c r="X147" t="s">
        <v>309</v>
      </c>
      <c r="Y147" t="s">
        <v>294</v>
      </c>
      <c r="Z147" t="s">
        <v>323</v>
      </c>
      <c r="AA147" t="s">
        <v>311</v>
      </c>
      <c r="AB147" t="s">
        <v>294</v>
      </c>
      <c r="AC147" t="s">
        <v>385</v>
      </c>
    </row>
    <row r="148" spans="1:29">
      <c r="A148" s="117" t="s">
        <v>801</v>
      </c>
      <c r="B148" t="s">
        <v>802</v>
      </c>
      <c r="C148" s="117" t="s">
        <v>803</v>
      </c>
      <c r="D148" t="s">
        <v>804</v>
      </c>
      <c r="E148" t="s">
        <v>611</v>
      </c>
      <c r="F148" t="s">
        <v>57</v>
      </c>
      <c r="G148" t="s">
        <v>319</v>
      </c>
      <c r="H148" t="s">
        <v>302</v>
      </c>
      <c r="I148" t="s">
        <v>286</v>
      </c>
      <c r="J148" t="s">
        <v>304</v>
      </c>
      <c r="K148" t="s">
        <v>805</v>
      </c>
      <c r="L148">
        <f>LEN(Tabela13[[#This Row],[Largura de copa (metros)]])</f>
        <v>5</v>
      </c>
      <c r="M148" t="str">
        <f>LEFT(Tabela13[[#This Row],[Largura de copa (metros)]],LEN(Tabela13[[#This Row],[Largura de copa (metros)]])-1)</f>
        <v>4-15</v>
      </c>
      <c r="N148" s="126" t="s">
        <v>1009</v>
      </c>
      <c r="O148" s="126" t="str">
        <f>"="&amp;Tabela13[[#This Row],[Coluna1]]</f>
        <v>=4-15</v>
      </c>
      <c r="P148" s="126">
        <f>4+15</f>
        <v>19</v>
      </c>
      <c r="Q148" s="126">
        <f>Tabela13[[#This Row],[Coluna 23]]/2</f>
        <v>9.5</v>
      </c>
      <c r="R148" t="s">
        <v>554</v>
      </c>
      <c r="S148" t="s">
        <v>806</v>
      </c>
      <c r="T148" t="s">
        <v>291</v>
      </c>
      <c r="U148" t="s">
        <v>292</v>
      </c>
      <c r="V148" t="s">
        <v>363</v>
      </c>
      <c r="W148" t="s">
        <v>294</v>
      </c>
      <c r="X148" t="s">
        <v>309</v>
      </c>
      <c r="Y148" t="s">
        <v>294</v>
      </c>
      <c r="Z148" t="s">
        <v>323</v>
      </c>
      <c r="AA148" t="s">
        <v>311</v>
      </c>
      <c r="AB148" t="s">
        <v>298</v>
      </c>
      <c r="AC148" t="s">
        <v>385</v>
      </c>
    </row>
    <row r="149" spans="1:29">
      <c r="A149" s="117" t="s">
        <v>807</v>
      </c>
      <c r="B149" t="s">
        <v>802</v>
      </c>
      <c r="C149" s="117" t="s">
        <v>803</v>
      </c>
      <c r="D149" t="s">
        <v>804</v>
      </c>
      <c r="E149" t="s">
        <v>611</v>
      </c>
      <c r="F149" t="s">
        <v>57</v>
      </c>
      <c r="G149" t="s">
        <v>319</v>
      </c>
      <c r="H149" t="s">
        <v>302</v>
      </c>
      <c r="I149" t="s">
        <v>286</v>
      </c>
      <c r="J149" t="s">
        <v>547</v>
      </c>
      <c r="K149" t="s">
        <v>806</v>
      </c>
      <c r="L149">
        <f>LEN(Tabela13[[#This Row],[Largura de copa (metros)]])</f>
        <v>5</v>
      </c>
      <c r="M149" t="str">
        <f>LEFT(Tabela13[[#This Row],[Largura de copa (metros)]],LEN(Tabela13[[#This Row],[Largura de copa (metros)]])-1)</f>
        <v>4-12</v>
      </c>
      <c r="N149" s="126" t="s">
        <v>1010</v>
      </c>
      <c r="O149" s="126" t="str">
        <f>"="&amp;Tabela13[[#This Row],[Coluna1]]</f>
        <v>=4-12</v>
      </c>
      <c r="P149" s="126">
        <f>4+12</f>
        <v>16</v>
      </c>
      <c r="Q149" s="126">
        <f>Tabela13[[#This Row],[Coluna 23]]/2</f>
        <v>8</v>
      </c>
      <c r="R149" t="s">
        <v>360</v>
      </c>
      <c r="S149" t="s">
        <v>808</v>
      </c>
      <c r="T149" t="s">
        <v>291</v>
      </c>
      <c r="U149" t="s">
        <v>292</v>
      </c>
      <c r="V149" t="s">
        <v>363</v>
      </c>
      <c r="W149" t="s">
        <v>294</v>
      </c>
      <c r="X149" t="s">
        <v>309</v>
      </c>
      <c r="Y149" t="s">
        <v>294</v>
      </c>
      <c r="Z149" t="s">
        <v>323</v>
      </c>
      <c r="AA149" t="s">
        <v>311</v>
      </c>
      <c r="AB149" t="s">
        <v>298</v>
      </c>
      <c r="AC149" t="s">
        <v>385</v>
      </c>
    </row>
    <row r="150" spans="1:29">
      <c r="A150" s="117" t="s">
        <v>809</v>
      </c>
      <c r="B150" t="s">
        <v>810</v>
      </c>
      <c r="C150" s="117" t="s">
        <v>803</v>
      </c>
      <c r="D150" t="s">
        <v>804</v>
      </c>
      <c r="E150" t="s">
        <v>283</v>
      </c>
      <c r="F150" t="s">
        <v>57</v>
      </c>
      <c r="G150" t="s">
        <v>319</v>
      </c>
      <c r="H150" t="s">
        <v>302</v>
      </c>
      <c r="I150" t="s">
        <v>286</v>
      </c>
      <c r="J150" t="s">
        <v>304</v>
      </c>
      <c r="K150" t="s">
        <v>806</v>
      </c>
      <c r="L150">
        <f>LEN(Tabela13[[#This Row],[Largura de copa (metros)]])</f>
        <v>5</v>
      </c>
      <c r="M150" t="str">
        <f>LEFT(Tabela13[[#This Row],[Largura de copa (metros)]],LEN(Tabela13[[#This Row],[Largura de copa (metros)]])-1)</f>
        <v>4-12</v>
      </c>
      <c r="N150" s="126" t="s">
        <v>1010</v>
      </c>
      <c r="O150" s="126" t="str">
        <f>"="&amp;Tabela13[[#This Row],[Coluna1]]</f>
        <v>=4-12</v>
      </c>
      <c r="P150" s="126">
        <f>4+12</f>
        <v>16</v>
      </c>
      <c r="Q150" s="126">
        <f>Tabela13[[#This Row],[Coluna 23]]/2</f>
        <v>8</v>
      </c>
      <c r="R150" t="s">
        <v>554</v>
      </c>
      <c r="S150" t="s">
        <v>808</v>
      </c>
      <c r="T150" t="s">
        <v>291</v>
      </c>
      <c r="U150" t="s">
        <v>292</v>
      </c>
      <c r="V150" t="s">
        <v>363</v>
      </c>
      <c r="W150" t="s">
        <v>294</v>
      </c>
      <c r="X150" t="s">
        <v>309</v>
      </c>
      <c r="Y150" t="s">
        <v>294</v>
      </c>
      <c r="Z150" t="s">
        <v>323</v>
      </c>
      <c r="AA150" t="s">
        <v>311</v>
      </c>
      <c r="AB150" t="s">
        <v>298</v>
      </c>
      <c r="AC150" t="s">
        <v>385</v>
      </c>
    </row>
    <row r="151" spans="1:29" s="122" customFormat="1">
      <c r="A151" s="117" t="s">
        <v>811</v>
      </c>
      <c r="B151" t="s">
        <v>812</v>
      </c>
      <c r="C151" s="117" t="s">
        <v>803</v>
      </c>
      <c r="D151" t="s">
        <v>804</v>
      </c>
      <c r="E151" t="s">
        <v>283</v>
      </c>
      <c r="F151" t="s">
        <v>57</v>
      </c>
      <c r="G151" t="s">
        <v>319</v>
      </c>
      <c r="H151" t="s">
        <v>302</v>
      </c>
      <c r="I151" t="s">
        <v>286</v>
      </c>
      <c r="J151" t="s">
        <v>304</v>
      </c>
      <c r="K151" t="s">
        <v>805</v>
      </c>
      <c r="L151">
        <f>LEN(Tabela13[[#This Row],[Largura de copa (metros)]])</f>
        <v>5</v>
      </c>
      <c r="M151" t="str">
        <f>LEFT(Tabela13[[#This Row],[Largura de copa (metros)]],LEN(Tabela13[[#This Row],[Largura de copa (metros)]])-1)</f>
        <v>4-15</v>
      </c>
      <c r="N151" s="126" t="s">
        <v>1009</v>
      </c>
      <c r="O151" s="126" t="str">
        <f>"="&amp;Tabela13[[#This Row],[Coluna1]]</f>
        <v>=4-15</v>
      </c>
      <c r="P151" s="126">
        <f>4+15</f>
        <v>19</v>
      </c>
      <c r="Q151" s="126">
        <f>Tabela13[[#This Row],[Coluna 23]]/2</f>
        <v>9.5</v>
      </c>
      <c r="R151" t="s">
        <v>371</v>
      </c>
      <c r="S151" t="s">
        <v>813</v>
      </c>
      <c r="T151" t="s">
        <v>291</v>
      </c>
      <c r="U151" t="s">
        <v>292</v>
      </c>
      <c r="V151" t="s">
        <v>363</v>
      </c>
      <c r="W151" t="s">
        <v>294</v>
      </c>
      <c r="X151" t="s">
        <v>309</v>
      </c>
      <c r="Y151" t="s">
        <v>294</v>
      </c>
      <c r="Z151" t="s">
        <v>323</v>
      </c>
      <c r="AA151" t="s">
        <v>311</v>
      </c>
      <c r="AB151" t="s">
        <v>325</v>
      </c>
      <c r="AC151" t="s">
        <v>385</v>
      </c>
    </row>
    <row r="152" spans="1:29" s="122" customFormat="1">
      <c r="A152" s="117" t="s">
        <v>814</v>
      </c>
      <c r="B152" t="s">
        <v>812</v>
      </c>
      <c r="C152" s="117" t="s">
        <v>803</v>
      </c>
      <c r="D152" t="s">
        <v>804</v>
      </c>
      <c r="E152" t="s">
        <v>283</v>
      </c>
      <c r="F152" t="s">
        <v>57</v>
      </c>
      <c r="G152" t="s">
        <v>319</v>
      </c>
      <c r="H152" t="s">
        <v>302</v>
      </c>
      <c r="I152" t="s">
        <v>286</v>
      </c>
      <c r="J152" t="s">
        <v>815</v>
      </c>
      <c r="K152" t="s">
        <v>805</v>
      </c>
      <c r="L152">
        <f>LEN(Tabela13[[#This Row],[Largura de copa (metros)]])</f>
        <v>5</v>
      </c>
      <c r="M152" t="str">
        <f>LEFT(Tabela13[[#This Row],[Largura de copa (metros)]],LEN(Tabela13[[#This Row],[Largura de copa (metros)]])-1)</f>
        <v>4-15</v>
      </c>
      <c r="N152" s="126" t="s">
        <v>1009</v>
      </c>
      <c r="O152" s="126" t="str">
        <f>"="&amp;Tabela13[[#This Row],[Coluna1]]</f>
        <v>=4-15</v>
      </c>
      <c r="P152" s="126">
        <f>4+15</f>
        <v>19</v>
      </c>
      <c r="Q152" s="126">
        <f>Tabela13[[#This Row],[Coluna 23]]/2</f>
        <v>9.5</v>
      </c>
      <c r="R152" t="s">
        <v>371</v>
      </c>
      <c r="S152" t="s">
        <v>806</v>
      </c>
      <c r="T152" t="s">
        <v>291</v>
      </c>
      <c r="U152" t="s">
        <v>292</v>
      </c>
      <c r="V152" t="s">
        <v>363</v>
      </c>
      <c r="W152" t="s">
        <v>294</v>
      </c>
      <c r="X152" t="s">
        <v>309</v>
      </c>
      <c r="Y152" t="s">
        <v>294</v>
      </c>
      <c r="Z152" t="s">
        <v>323</v>
      </c>
      <c r="AA152" t="s">
        <v>311</v>
      </c>
      <c r="AB152" t="s">
        <v>298</v>
      </c>
      <c r="AC152" t="s">
        <v>299</v>
      </c>
    </row>
    <row r="153" spans="1:29">
      <c r="A153" s="117" t="s">
        <v>816</v>
      </c>
      <c r="B153" t="s">
        <v>817</v>
      </c>
      <c r="C153" s="117" t="s">
        <v>803</v>
      </c>
      <c r="D153" t="s">
        <v>804</v>
      </c>
      <c r="E153" t="s">
        <v>283</v>
      </c>
      <c r="F153" t="s">
        <v>57</v>
      </c>
      <c r="G153" t="s">
        <v>319</v>
      </c>
      <c r="H153" t="s">
        <v>285</v>
      </c>
      <c r="I153" t="s">
        <v>286</v>
      </c>
      <c r="J153" t="s">
        <v>304</v>
      </c>
      <c r="K153" t="s">
        <v>305</v>
      </c>
      <c r="L153">
        <f>LEN(Tabela13[[#This Row],[Largura de copa (metros)]])</f>
        <v>4</v>
      </c>
      <c r="M153" t="str">
        <f>LEFT(Tabela13[[#This Row],[Largura de copa (metros)]],LEN(Tabela13[[#This Row],[Largura de copa (metros)]])-1)</f>
        <v>4-6</v>
      </c>
      <c r="N153" s="126" t="s">
        <v>969</v>
      </c>
      <c r="O153" s="126" t="str">
        <f>"="&amp;Tabela13[[#This Row],[Coluna1]]</f>
        <v>=4-6</v>
      </c>
      <c r="P153" s="126">
        <f>4+6</f>
        <v>10</v>
      </c>
      <c r="Q153" s="126">
        <f>Tabela13[[#This Row],[Coluna 23]]/2</f>
        <v>5</v>
      </c>
      <c r="R153" t="s">
        <v>360</v>
      </c>
      <c r="S153" t="s">
        <v>306</v>
      </c>
      <c r="T153" t="s">
        <v>291</v>
      </c>
      <c r="U153" t="s">
        <v>292</v>
      </c>
      <c r="V153" t="s">
        <v>363</v>
      </c>
      <c r="W153" t="s">
        <v>294</v>
      </c>
      <c r="X153" t="s">
        <v>295</v>
      </c>
      <c r="Y153" t="s">
        <v>294</v>
      </c>
      <c r="Z153" t="s">
        <v>323</v>
      </c>
      <c r="AA153" t="s">
        <v>311</v>
      </c>
      <c r="AB153" t="s">
        <v>298</v>
      </c>
      <c r="AC153" t="s">
        <v>385</v>
      </c>
    </row>
    <row r="154" spans="1:29">
      <c r="A154" s="117" t="s">
        <v>818</v>
      </c>
      <c r="B154" t="s">
        <v>819</v>
      </c>
      <c r="C154" s="117" t="s">
        <v>803</v>
      </c>
      <c r="D154" t="s">
        <v>804</v>
      </c>
      <c r="E154" t="s">
        <v>283</v>
      </c>
      <c r="F154" t="s">
        <v>57</v>
      </c>
      <c r="G154" t="s">
        <v>319</v>
      </c>
      <c r="H154" t="s">
        <v>302</v>
      </c>
      <c r="I154" t="s">
        <v>286</v>
      </c>
      <c r="J154" t="s">
        <v>815</v>
      </c>
      <c r="K154" t="s">
        <v>805</v>
      </c>
      <c r="L154">
        <f>LEN(Tabela13[[#This Row],[Largura de copa (metros)]])</f>
        <v>5</v>
      </c>
      <c r="M154" t="str">
        <f>LEFT(Tabela13[[#This Row],[Largura de copa (metros)]],LEN(Tabela13[[#This Row],[Largura de copa (metros)]])-1)</f>
        <v>4-15</v>
      </c>
      <c r="N154" s="126" t="s">
        <v>1009</v>
      </c>
      <c r="O154" s="126" t="str">
        <f>"="&amp;Tabela13[[#This Row],[Coluna1]]</f>
        <v>=4-15</v>
      </c>
      <c r="P154" s="126">
        <f>4+15</f>
        <v>19</v>
      </c>
      <c r="Q154" s="126">
        <f>Tabela13[[#This Row],[Coluna 23]]/2</f>
        <v>9.5</v>
      </c>
      <c r="R154" t="s">
        <v>479</v>
      </c>
      <c r="S154" t="s">
        <v>806</v>
      </c>
      <c r="T154" t="s">
        <v>291</v>
      </c>
      <c r="U154" t="s">
        <v>292</v>
      </c>
      <c r="V154" t="s">
        <v>363</v>
      </c>
      <c r="W154" t="s">
        <v>294</v>
      </c>
      <c r="X154" t="s">
        <v>309</v>
      </c>
      <c r="Y154" t="s">
        <v>294</v>
      </c>
      <c r="Z154" t="s">
        <v>323</v>
      </c>
      <c r="AA154" t="s">
        <v>311</v>
      </c>
      <c r="AB154" t="s">
        <v>298</v>
      </c>
      <c r="AC154" t="s">
        <v>385</v>
      </c>
    </row>
    <row r="155" spans="1:29">
      <c r="A155" s="117" t="s">
        <v>820</v>
      </c>
      <c r="B155" t="s">
        <v>821</v>
      </c>
      <c r="C155" s="117" t="s">
        <v>822</v>
      </c>
      <c r="D155" t="s">
        <v>540</v>
      </c>
      <c r="E155" t="s">
        <v>353</v>
      </c>
      <c r="F155" t="s">
        <v>57</v>
      </c>
      <c r="G155" t="s">
        <v>319</v>
      </c>
      <c r="H155" t="s">
        <v>302</v>
      </c>
      <c r="I155" t="s">
        <v>285</v>
      </c>
      <c r="J155" t="s">
        <v>619</v>
      </c>
      <c r="K155" t="s">
        <v>336</v>
      </c>
      <c r="L155">
        <f>LEN(Tabela13[[#This Row],[Largura de copa (metros)]])</f>
        <v>4</v>
      </c>
      <c r="M155" t="str">
        <f>LEFT(Tabela13[[#This Row],[Largura de copa (metros)]],LEN(Tabela13[[#This Row],[Largura de copa (metros)]])-1)</f>
        <v>2-4</v>
      </c>
      <c r="N155" s="126" t="s">
        <v>972</v>
      </c>
      <c r="O155" s="126" t="str">
        <f>"="&amp;Tabela13[[#This Row],[Coluna1]]</f>
        <v>=2-4</v>
      </c>
      <c r="P155" s="126">
        <f>2+4</f>
        <v>6</v>
      </c>
      <c r="Q155" s="126">
        <f>Tabela13[[#This Row],[Coluna 23]]/2</f>
        <v>3</v>
      </c>
      <c r="R155" t="s">
        <v>349</v>
      </c>
      <c r="S155" t="s">
        <v>336</v>
      </c>
      <c r="T155" t="s">
        <v>342</v>
      </c>
      <c r="U155" t="s">
        <v>292</v>
      </c>
      <c r="V155" t="s">
        <v>384</v>
      </c>
      <c r="W155" t="s">
        <v>294</v>
      </c>
      <c r="X155" t="s">
        <v>309</v>
      </c>
      <c r="Y155" t="s">
        <v>325</v>
      </c>
      <c r="Z155" t="s">
        <v>323</v>
      </c>
      <c r="AA155" t="s">
        <v>297</v>
      </c>
      <c r="AB155" t="s">
        <v>298</v>
      </c>
      <c r="AC155" t="s">
        <v>299</v>
      </c>
    </row>
    <row r="156" spans="1:29" s="122" customFormat="1">
      <c r="A156" s="117" t="s">
        <v>823</v>
      </c>
      <c r="B156" t="s">
        <v>824</v>
      </c>
      <c r="C156" s="117" t="s">
        <v>822</v>
      </c>
      <c r="D156" t="s">
        <v>540</v>
      </c>
      <c r="E156" t="s">
        <v>283</v>
      </c>
      <c r="F156" t="s">
        <v>57</v>
      </c>
      <c r="G156" t="s">
        <v>319</v>
      </c>
      <c r="H156" t="s">
        <v>302</v>
      </c>
      <c r="I156" t="s">
        <v>303</v>
      </c>
      <c r="J156" t="s">
        <v>304</v>
      </c>
      <c r="K156" t="s">
        <v>336</v>
      </c>
      <c r="L156">
        <f>LEN(Tabela13[[#This Row],[Largura de copa (metros)]])</f>
        <v>4</v>
      </c>
      <c r="M156" t="str">
        <f>LEFT(Tabela13[[#This Row],[Largura de copa (metros)]],LEN(Tabela13[[#This Row],[Largura de copa (metros)]])-1)</f>
        <v>2-4</v>
      </c>
      <c r="N156" s="126" t="s">
        <v>972</v>
      </c>
      <c r="O156" s="126" t="str">
        <f>"="&amp;Tabela13[[#This Row],[Coluna1]]</f>
        <v>=2-4</v>
      </c>
      <c r="P156" s="126">
        <f>2+4</f>
        <v>6</v>
      </c>
      <c r="Q156" s="126">
        <f>Tabela13[[#This Row],[Coluna 23]]/2</f>
        <v>3</v>
      </c>
      <c r="R156" t="s">
        <v>288</v>
      </c>
      <c r="S156" t="s">
        <v>336</v>
      </c>
      <c r="T156" t="s">
        <v>342</v>
      </c>
      <c r="U156" t="s">
        <v>378</v>
      </c>
      <c r="V156" t="s">
        <v>363</v>
      </c>
      <c r="W156" t="s">
        <v>294</v>
      </c>
      <c r="X156" t="s">
        <v>295</v>
      </c>
      <c r="Y156" t="s">
        <v>325</v>
      </c>
      <c r="Z156" t="s">
        <v>323</v>
      </c>
      <c r="AA156" t="s">
        <v>311</v>
      </c>
      <c r="AB156" t="s">
        <v>325</v>
      </c>
      <c r="AC156" t="s">
        <v>565</v>
      </c>
    </row>
    <row r="157" spans="1:29" s="122" customFormat="1">
      <c r="A157" s="117" t="s">
        <v>825</v>
      </c>
      <c r="B157" t="s">
        <v>824</v>
      </c>
      <c r="C157" s="117" t="s">
        <v>822</v>
      </c>
      <c r="D157" t="s">
        <v>540</v>
      </c>
      <c r="E157" t="s">
        <v>283</v>
      </c>
      <c r="F157" t="s">
        <v>57</v>
      </c>
      <c r="G157" t="s">
        <v>319</v>
      </c>
      <c r="H157" t="s">
        <v>302</v>
      </c>
      <c r="I157" t="s">
        <v>303</v>
      </c>
      <c r="J157" t="s">
        <v>304</v>
      </c>
      <c r="K157" t="s">
        <v>336</v>
      </c>
      <c r="L157">
        <f>LEN(Tabela13[[#This Row],[Largura de copa (metros)]])</f>
        <v>4</v>
      </c>
      <c r="M157" t="str">
        <f>LEFT(Tabela13[[#This Row],[Largura de copa (metros)]],LEN(Tabela13[[#This Row],[Largura de copa (metros)]])-1)</f>
        <v>2-4</v>
      </c>
      <c r="N157" s="126" t="s">
        <v>972</v>
      </c>
      <c r="O157" s="126" t="str">
        <f>"="&amp;Tabela13[[#This Row],[Coluna1]]</f>
        <v>=2-4</v>
      </c>
      <c r="P157" s="126">
        <f>2+4</f>
        <v>6</v>
      </c>
      <c r="Q157" s="126">
        <f>Tabela13[[#This Row],[Coluna 23]]/2</f>
        <v>3</v>
      </c>
      <c r="R157" t="s">
        <v>288</v>
      </c>
      <c r="S157" t="s">
        <v>336</v>
      </c>
      <c r="T157" t="s">
        <v>342</v>
      </c>
      <c r="U157" t="s">
        <v>378</v>
      </c>
      <c r="V157" t="s">
        <v>363</v>
      </c>
      <c r="W157" t="s">
        <v>294</v>
      </c>
      <c r="X157" t="s">
        <v>295</v>
      </c>
      <c r="Y157" t="s">
        <v>325</v>
      </c>
      <c r="Z157" t="s">
        <v>323</v>
      </c>
      <c r="AA157" t="s">
        <v>311</v>
      </c>
      <c r="AB157" t="s">
        <v>325</v>
      </c>
      <c r="AC157" t="s">
        <v>565</v>
      </c>
    </row>
    <row r="158" spans="1:29">
      <c r="A158" s="117" t="s">
        <v>826</v>
      </c>
      <c r="B158" t="s">
        <v>827</v>
      </c>
      <c r="C158" s="117" t="s">
        <v>822</v>
      </c>
      <c r="D158" t="s">
        <v>540</v>
      </c>
      <c r="E158" t="s">
        <v>283</v>
      </c>
      <c r="F158" t="s">
        <v>57</v>
      </c>
      <c r="G158" t="s">
        <v>319</v>
      </c>
      <c r="H158" t="s">
        <v>302</v>
      </c>
      <c r="I158" t="s">
        <v>303</v>
      </c>
      <c r="J158" t="s">
        <v>320</v>
      </c>
      <c r="K158" t="s">
        <v>336</v>
      </c>
      <c r="L158">
        <f>LEN(Tabela13[[#This Row],[Largura de copa (metros)]])</f>
        <v>4</v>
      </c>
      <c r="M158" t="str">
        <f>LEFT(Tabela13[[#This Row],[Largura de copa (metros)]],LEN(Tabela13[[#This Row],[Largura de copa (metros)]])-1)</f>
        <v>2-4</v>
      </c>
      <c r="N158" s="126" t="s">
        <v>972</v>
      </c>
      <c r="O158" s="126" t="str">
        <f>"="&amp;Tabela13[[#This Row],[Coluna1]]</f>
        <v>=2-4</v>
      </c>
      <c r="P158" s="126">
        <f>2+4</f>
        <v>6</v>
      </c>
      <c r="Q158" s="126">
        <f>Tabela13[[#This Row],[Coluna 23]]/2</f>
        <v>3</v>
      </c>
      <c r="R158" t="s">
        <v>290</v>
      </c>
      <c r="S158" t="s">
        <v>336</v>
      </c>
      <c r="T158" t="s">
        <v>342</v>
      </c>
      <c r="U158" t="s">
        <v>378</v>
      </c>
      <c r="V158" t="s">
        <v>384</v>
      </c>
      <c r="W158" t="s">
        <v>298</v>
      </c>
      <c r="X158" t="s">
        <v>309</v>
      </c>
      <c r="Y158" t="s">
        <v>298</v>
      </c>
      <c r="Z158" t="s">
        <v>323</v>
      </c>
      <c r="AA158" t="s">
        <v>311</v>
      </c>
      <c r="AB158" t="s">
        <v>298</v>
      </c>
      <c r="AC158" t="s">
        <v>565</v>
      </c>
    </row>
    <row r="159" spans="1:29">
      <c r="A159" s="117" t="s">
        <v>828</v>
      </c>
      <c r="B159" t="s">
        <v>829</v>
      </c>
      <c r="C159" s="117" t="s">
        <v>822</v>
      </c>
      <c r="D159" t="s">
        <v>540</v>
      </c>
      <c r="E159" t="s">
        <v>283</v>
      </c>
      <c r="F159" t="s">
        <v>57</v>
      </c>
      <c r="G159" t="s">
        <v>319</v>
      </c>
      <c r="H159" t="s">
        <v>302</v>
      </c>
      <c r="I159" t="s">
        <v>303</v>
      </c>
      <c r="J159" t="s">
        <v>312</v>
      </c>
      <c r="K159" t="s">
        <v>340</v>
      </c>
      <c r="L159">
        <f>LEN(Tabela13[[#This Row],[Largura de copa (metros)]])</f>
        <v>4</v>
      </c>
      <c r="M159" t="str">
        <f>LEFT(Tabela13[[#This Row],[Largura de copa (metros)]],LEN(Tabela13[[#This Row],[Largura de copa (metros)]])-1)</f>
        <v>2-3</v>
      </c>
      <c r="N159" s="126" t="s">
        <v>973</v>
      </c>
      <c r="O159" s="126" t="str">
        <f>"="&amp;Tabela13[[#This Row],[Coluna1]]</f>
        <v>=2-3</v>
      </c>
      <c r="P159" s="126">
        <f>2+3</f>
        <v>5</v>
      </c>
      <c r="Q159" s="126">
        <f>Tabela13[[#This Row],[Coluna 23]]/2</f>
        <v>2.5</v>
      </c>
      <c r="R159" t="s">
        <v>327</v>
      </c>
      <c r="S159" t="s">
        <v>340</v>
      </c>
      <c r="T159" t="s">
        <v>342</v>
      </c>
      <c r="U159" t="s">
        <v>378</v>
      </c>
      <c r="V159" t="s">
        <v>293</v>
      </c>
      <c r="W159" t="s">
        <v>294</v>
      </c>
      <c r="X159" t="s">
        <v>309</v>
      </c>
      <c r="Y159" t="s">
        <v>298</v>
      </c>
      <c r="Z159" t="s">
        <v>310</v>
      </c>
      <c r="AA159" t="s">
        <v>311</v>
      </c>
      <c r="AB159" t="s">
        <v>298</v>
      </c>
      <c r="AC159" t="s">
        <v>299</v>
      </c>
    </row>
    <row r="160" spans="1:29">
      <c r="A160" s="117" t="s">
        <v>830</v>
      </c>
      <c r="B160" t="s">
        <v>831</v>
      </c>
      <c r="C160" s="117" t="s">
        <v>822</v>
      </c>
      <c r="D160" t="s">
        <v>540</v>
      </c>
      <c r="E160" t="s">
        <v>283</v>
      </c>
      <c r="F160" t="s">
        <v>57</v>
      </c>
      <c r="G160" t="s">
        <v>284</v>
      </c>
      <c r="H160" t="s">
        <v>285</v>
      </c>
      <c r="I160" t="s">
        <v>303</v>
      </c>
      <c r="J160" t="s">
        <v>304</v>
      </c>
      <c r="K160" t="s">
        <v>336</v>
      </c>
      <c r="L160">
        <f>LEN(Tabela13[[#This Row],[Largura de copa (metros)]])</f>
        <v>4</v>
      </c>
      <c r="M160" t="str">
        <f>LEFT(Tabela13[[#This Row],[Largura de copa (metros)]],LEN(Tabela13[[#This Row],[Largura de copa (metros)]])-1)</f>
        <v>2-4</v>
      </c>
      <c r="N160" s="126" t="s">
        <v>972</v>
      </c>
      <c r="O160" s="126" t="str">
        <f>"="&amp;Tabela13[[#This Row],[Coluna1]]</f>
        <v>=2-4</v>
      </c>
      <c r="P160" s="126">
        <f>2+4</f>
        <v>6</v>
      </c>
      <c r="Q160" s="126">
        <f>Tabela13[[#This Row],[Coluna 23]]/2</f>
        <v>3</v>
      </c>
      <c r="R160" t="s">
        <v>305</v>
      </c>
      <c r="S160" t="s">
        <v>336</v>
      </c>
      <c r="T160" t="s">
        <v>342</v>
      </c>
      <c r="U160" t="s">
        <v>307</v>
      </c>
      <c r="V160" t="s">
        <v>308</v>
      </c>
      <c r="W160" t="s">
        <v>294</v>
      </c>
      <c r="X160" t="s">
        <v>309</v>
      </c>
      <c r="Y160" t="s">
        <v>325</v>
      </c>
      <c r="Z160" t="s">
        <v>323</v>
      </c>
      <c r="AA160" t="s">
        <v>299</v>
      </c>
      <c r="AB160" t="s">
        <v>298</v>
      </c>
      <c r="AC160" t="s">
        <v>299</v>
      </c>
    </row>
    <row r="161" spans="1:29">
      <c r="A161" s="117" t="s">
        <v>832</v>
      </c>
      <c r="B161" t="s">
        <v>833</v>
      </c>
      <c r="C161" s="117" t="s">
        <v>822</v>
      </c>
      <c r="D161" t="s">
        <v>540</v>
      </c>
      <c r="E161" t="s">
        <v>353</v>
      </c>
      <c r="F161" t="s">
        <v>57</v>
      </c>
      <c r="G161" t="s">
        <v>284</v>
      </c>
      <c r="H161" t="s">
        <v>285</v>
      </c>
      <c r="I161" t="s">
        <v>303</v>
      </c>
      <c r="J161" t="s">
        <v>304</v>
      </c>
      <c r="K161" t="s">
        <v>336</v>
      </c>
      <c r="L161">
        <f>LEN(Tabela13[[#This Row],[Largura de copa (metros)]])</f>
        <v>4</v>
      </c>
      <c r="M161" t="str">
        <f>LEFT(Tabela13[[#This Row],[Largura de copa (metros)]],LEN(Tabela13[[#This Row],[Largura de copa (metros)]])-1)</f>
        <v>2-4</v>
      </c>
      <c r="N161" s="126" t="s">
        <v>972</v>
      </c>
      <c r="O161" s="126" t="str">
        <f>"="&amp;Tabela13[[#This Row],[Coluna1]]</f>
        <v>=2-4</v>
      </c>
      <c r="P161" s="126">
        <f>2+4</f>
        <v>6</v>
      </c>
      <c r="Q161" s="126">
        <f>Tabela13[[#This Row],[Coluna 23]]/2</f>
        <v>3</v>
      </c>
      <c r="R161" t="s">
        <v>441</v>
      </c>
      <c r="S161" t="s">
        <v>336</v>
      </c>
      <c r="T161" t="s">
        <v>342</v>
      </c>
      <c r="U161" t="s">
        <v>378</v>
      </c>
      <c r="V161" t="s">
        <v>308</v>
      </c>
      <c r="W161" t="s">
        <v>294</v>
      </c>
      <c r="X161" t="s">
        <v>309</v>
      </c>
      <c r="Y161" t="s">
        <v>294</v>
      </c>
      <c r="Z161" t="s">
        <v>323</v>
      </c>
      <c r="AA161" t="s">
        <v>299</v>
      </c>
      <c r="AB161" t="s">
        <v>325</v>
      </c>
      <c r="AC161" t="s">
        <v>299</v>
      </c>
    </row>
    <row r="162" spans="1:29">
      <c r="A162" s="117" t="s">
        <v>834</v>
      </c>
      <c r="B162" t="s">
        <v>835</v>
      </c>
      <c r="C162" s="117" t="s">
        <v>822</v>
      </c>
      <c r="D162" t="s">
        <v>540</v>
      </c>
      <c r="E162" t="s">
        <v>283</v>
      </c>
      <c r="F162" t="s">
        <v>57</v>
      </c>
      <c r="G162" t="s">
        <v>319</v>
      </c>
      <c r="H162" t="s">
        <v>302</v>
      </c>
      <c r="I162" t="s">
        <v>303</v>
      </c>
      <c r="J162" t="s">
        <v>320</v>
      </c>
      <c r="K162" t="s">
        <v>376</v>
      </c>
      <c r="L162">
        <f>LEN(Tabela13[[#This Row],[Largura de copa (metros)]])</f>
        <v>4</v>
      </c>
      <c r="M162" t="str">
        <f>LEFT(Tabela13[[#This Row],[Largura de copa (metros)]],LEN(Tabela13[[#This Row],[Largura de copa (metros)]])-1)</f>
        <v>4-8</v>
      </c>
      <c r="N162" s="126" t="s">
        <v>978</v>
      </c>
      <c r="O162" s="126" t="str">
        <f>"="&amp;Tabela13[[#This Row],[Coluna1]]</f>
        <v>=4-8</v>
      </c>
      <c r="P162" s="126">
        <f>4+8</f>
        <v>12</v>
      </c>
      <c r="Q162" s="126">
        <f>Tabela13[[#This Row],[Coluna 23]]/2</f>
        <v>6</v>
      </c>
      <c r="R162" t="s">
        <v>376</v>
      </c>
      <c r="S162" t="s">
        <v>341</v>
      </c>
      <c r="T162" t="s">
        <v>291</v>
      </c>
      <c r="U162" t="s">
        <v>378</v>
      </c>
      <c r="V162" t="s">
        <v>308</v>
      </c>
      <c r="W162" t="s">
        <v>298</v>
      </c>
      <c r="X162" t="s">
        <v>295</v>
      </c>
      <c r="Y162" t="s">
        <v>298</v>
      </c>
      <c r="Z162" t="s">
        <v>310</v>
      </c>
      <c r="AA162" t="s">
        <v>297</v>
      </c>
      <c r="AB162" t="s">
        <v>298</v>
      </c>
      <c r="AC162" t="s">
        <v>299</v>
      </c>
    </row>
    <row r="163" spans="1:29">
      <c r="A163" s="117" t="s">
        <v>836</v>
      </c>
      <c r="B163" t="s">
        <v>835</v>
      </c>
      <c r="C163" s="117" t="s">
        <v>822</v>
      </c>
      <c r="D163" t="s">
        <v>540</v>
      </c>
      <c r="E163" t="s">
        <v>283</v>
      </c>
      <c r="F163" t="s">
        <v>57</v>
      </c>
      <c r="G163" t="s">
        <v>319</v>
      </c>
      <c r="H163" t="s">
        <v>302</v>
      </c>
      <c r="I163" t="s">
        <v>303</v>
      </c>
      <c r="J163" t="s">
        <v>320</v>
      </c>
      <c r="K163" t="s">
        <v>376</v>
      </c>
      <c r="L163">
        <f>LEN(Tabela13[[#This Row],[Largura de copa (metros)]])</f>
        <v>4</v>
      </c>
      <c r="M163" t="str">
        <f>LEFT(Tabela13[[#This Row],[Largura de copa (metros)]],LEN(Tabela13[[#This Row],[Largura de copa (metros)]])-1)</f>
        <v>4-8</v>
      </c>
      <c r="N163" s="126" t="s">
        <v>978</v>
      </c>
      <c r="O163" s="126" t="str">
        <f>"="&amp;Tabela13[[#This Row],[Coluna1]]</f>
        <v>=4-8</v>
      </c>
      <c r="P163" s="126">
        <f>4+8</f>
        <v>12</v>
      </c>
      <c r="Q163" s="126">
        <f>Tabela13[[#This Row],[Coluna 23]]/2</f>
        <v>6</v>
      </c>
      <c r="R163" t="s">
        <v>376</v>
      </c>
      <c r="S163" t="s">
        <v>341</v>
      </c>
      <c r="T163" t="s">
        <v>291</v>
      </c>
      <c r="U163" t="s">
        <v>378</v>
      </c>
      <c r="V163" t="s">
        <v>308</v>
      </c>
      <c r="W163" t="s">
        <v>298</v>
      </c>
      <c r="X163" t="s">
        <v>295</v>
      </c>
      <c r="Y163" t="s">
        <v>298</v>
      </c>
      <c r="Z163" t="s">
        <v>310</v>
      </c>
      <c r="AA163" t="s">
        <v>297</v>
      </c>
      <c r="AB163" t="s">
        <v>298</v>
      </c>
      <c r="AC163" t="s">
        <v>299</v>
      </c>
    </row>
    <row r="164" spans="1:29">
      <c r="A164" s="117" t="s">
        <v>837</v>
      </c>
      <c r="B164" t="s">
        <v>838</v>
      </c>
      <c r="C164" s="117" t="s">
        <v>839</v>
      </c>
      <c r="D164" t="s">
        <v>282</v>
      </c>
      <c r="E164" t="s">
        <v>283</v>
      </c>
      <c r="F164" t="s">
        <v>57</v>
      </c>
      <c r="G164" t="s">
        <v>284</v>
      </c>
      <c r="H164" t="s">
        <v>302</v>
      </c>
      <c r="I164" t="s">
        <v>286</v>
      </c>
      <c r="J164" t="s">
        <v>287</v>
      </c>
      <c r="K164" t="s">
        <v>376</v>
      </c>
      <c r="L164">
        <f>LEN(Tabela13[[#This Row],[Largura de copa (metros)]])</f>
        <v>4</v>
      </c>
      <c r="M164" t="str">
        <f>LEFT(Tabela13[[#This Row],[Largura de copa (metros)]],LEN(Tabela13[[#This Row],[Largura de copa (metros)]])-1)</f>
        <v>4-8</v>
      </c>
      <c r="N164" s="126" t="s">
        <v>978</v>
      </c>
      <c r="O164" s="126" t="str">
        <f>"="&amp;Tabela13[[#This Row],[Coluna1]]</f>
        <v>=4-8</v>
      </c>
      <c r="P164" s="126">
        <f>4+8</f>
        <v>12</v>
      </c>
      <c r="Q164" s="126">
        <f>Tabela13[[#This Row],[Coluna 23]]/2</f>
        <v>6</v>
      </c>
      <c r="R164" t="s">
        <v>479</v>
      </c>
      <c r="S164" t="s">
        <v>341</v>
      </c>
      <c r="T164" t="s">
        <v>291</v>
      </c>
      <c r="U164" t="s">
        <v>292</v>
      </c>
      <c r="V164" t="s">
        <v>384</v>
      </c>
      <c r="W164" t="s">
        <v>294</v>
      </c>
      <c r="X164" t="s">
        <v>309</v>
      </c>
      <c r="Y164" t="s">
        <v>298</v>
      </c>
      <c r="Z164" t="s">
        <v>323</v>
      </c>
      <c r="AA164" t="s">
        <v>324</v>
      </c>
      <c r="AB164" t="s">
        <v>298</v>
      </c>
      <c r="AC164" t="s">
        <v>299</v>
      </c>
    </row>
    <row r="165" spans="1:29">
      <c r="A165" s="117" t="s">
        <v>840</v>
      </c>
      <c r="B165" t="s">
        <v>841</v>
      </c>
      <c r="C165" s="117" t="s">
        <v>842</v>
      </c>
      <c r="D165" t="s">
        <v>667</v>
      </c>
      <c r="E165" t="s">
        <v>283</v>
      </c>
      <c r="F165" t="s">
        <v>57</v>
      </c>
      <c r="G165" t="s">
        <v>319</v>
      </c>
      <c r="H165" t="s">
        <v>285</v>
      </c>
      <c r="I165" t="s">
        <v>303</v>
      </c>
      <c r="J165" t="s">
        <v>320</v>
      </c>
      <c r="K165" t="s">
        <v>340</v>
      </c>
      <c r="L165">
        <f>LEN(Tabela13[[#This Row],[Largura de copa (metros)]])</f>
        <v>4</v>
      </c>
      <c r="M165" t="str">
        <f>LEFT(Tabela13[[#This Row],[Largura de copa (metros)]],LEN(Tabela13[[#This Row],[Largura de copa (metros)]])-1)</f>
        <v>2-3</v>
      </c>
      <c r="N165" s="126" t="s">
        <v>973</v>
      </c>
      <c r="O165" s="126" t="str">
        <f>"="&amp;Tabela13[[#This Row],[Coluna1]]</f>
        <v>=2-3</v>
      </c>
      <c r="P165" s="126">
        <f>2+3</f>
        <v>5</v>
      </c>
      <c r="Q165" s="126">
        <f>Tabela13[[#This Row],[Coluna 23]]/2</f>
        <v>2.5</v>
      </c>
      <c r="R165" t="s">
        <v>488</v>
      </c>
      <c r="S165" t="s">
        <v>340</v>
      </c>
      <c r="T165" t="s">
        <v>342</v>
      </c>
      <c r="U165" t="s">
        <v>307</v>
      </c>
      <c r="V165" t="s">
        <v>308</v>
      </c>
      <c r="W165" t="s">
        <v>294</v>
      </c>
      <c r="X165" t="s">
        <v>390</v>
      </c>
      <c r="Y165" t="s">
        <v>298</v>
      </c>
      <c r="Z165" t="s">
        <v>310</v>
      </c>
      <c r="AA165" t="s">
        <v>324</v>
      </c>
      <c r="AB165" t="s">
        <v>298</v>
      </c>
      <c r="AC165" t="s">
        <v>396</v>
      </c>
    </row>
    <row r="166" spans="1:29">
      <c r="A166" s="117" t="s">
        <v>843</v>
      </c>
      <c r="B166" t="s">
        <v>844</v>
      </c>
      <c r="C166" s="117" t="s">
        <v>845</v>
      </c>
      <c r="D166" t="s">
        <v>540</v>
      </c>
      <c r="E166" t="s">
        <v>283</v>
      </c>
      <c r="F166" t="s">
        <v>57</v>
      </c>
      <c r="G166" t="s">
        <v>319</v>
      </c>
      <c r="H166" t="s">
        <v>302</v>
      </c>
      <c r="I166" t="s">
        <v>303</v>
      </c>
      <c r="J166" t="s">
        <v>370</v>
      </c>
      <c r="K166" t="s">
        <v>305</v>
      </c>
      <c r="L166">
        <f>LEN(Tabela13[[#This Row],[Largura de copa (metros)]])</f>
        <v>4</v>
      </c>
      <c r="M166" t="str">
        <f>LEFT(Tabela13[[#This Row],[Largura de copa (metros)]],LEN(Tabela13[[#This Row],[Largura de copa (metros)]])-1)</f>
        <v>4-6</v>
      </c>
      <c r="N166" s="126" t="s">
        <v>969</v>
      </c>
      <c r="O166" s="126" t="str">
        <f>"="&amp;Tabela13[[#This Row],[Coluna1]]</f>
        <v>=4-6</v>
      </c>
      <c r="P166" s="126">
        <f>4+6</f>
        <v>10</v>
      </c>
      <c r="Q166" s="126">
        <f>Tabela13[[#This Row],[Coluna 23]]/2</f>
        <v>5</v>
      </c>
      <c r="R166" t="s">
        <v>321</v>
      </c>
      <c r="S166" t="s">
        <v>306</v>
      </c>
      <c r="T166" t="s">
        <v>291</v>
      </c>
      <c r="U166" t="s">
        <v>322</v>
      </c>
      <c r="V166" t="s">
        <v>363</v>
      </c>
      <c r="W166" t="s">
        <v>294</v>
      </c>
      <c r="X166" t="s">
        <v>309</v>
      </c>
      <c r="Y166" t="s">
        <v>294</v>
      </c>
      <c r="Z166" t="s">
        <v>310</v>
      </c>
      <c r="AA166" t="s">
        <v>311</v>
      </c>
      <c r="AB166" t="s">
        <v>294</v>
      </c>
      <c r="AC166" t="s">
        <v>299</v>
      </c>
    </row>
    <row r="167" spans="1:29">
      <c r="A167" s="117" t="s">
        <v>846</v>
      </c>
      <c r="B167" t="s">
        <v>847</v>
      </c>
      <c r="C167" s="117" t="s">
        <v>845</v>
      </c>
      <c r="D167" t="s">
        <v>540</v>
      </c>
      <c r="E167" t="s">
        <v>353</v>
      </c>
      <c r="F167" t="s">
        <v>57</v>
      </c>
      <c r="G167" t="s">
        <v>319</v>
      </c>
      <c r="H167" t="s">
        <v>302</v>
      </c>
      <c r="I167" t="s">
        <v>303</v>
      </c>
      <c r="J167" t="s">
        <v>370</v>
      </c>
      <c r="K167" t="s">
        <v>305</v>
      </c>
      <c r="L167">
        <f>LEN(Tabela13[[#This Row],[Largura de copa (metros)]])</f>
        <v>4</v>
      </c>
      <c r="M167" t="str">
        <f>LEFT(Tabela13[[#This Row],[Largura de copa (metros)]],LEN(Tabela13[[#This Row],[Largura de copa (metros)]])-1)</f>
        <v>4-6</v>
      </c>
      <c r="N167" s="126" t="s">
        <v>969</v>
      </c>
      <c r="O167" s="126" t="str">
        <f>"="&amp;Tabela13[[#This Row],[Coluna1]]</f>
        <v>=4-6</v>
      </c>
      <c r="P167" s="126">
        <f>4+6</f>
        <v>10</v>
      </c>
      <c r="Q167" s="126">
        <f>Tabela13[[#This Row],[Coluna 23]]/2</f>
        <v>5</v>
      </c>
      <c r="R167" t="s">
        <v>321</v>
      </c>
      <c r="S167" t="s">
        <v>306</v>
      </c>
      <c r="T167" t="s">
        <v>291</v>
      </c>
      <c r="U167" t="s">
        <v>322</v>
      </c>
      <c r="V167" t="s">
        <v>363</v>
      </c>
      <c r="W167" t="s">
        <v>294</v>
      </c>
      <c r="X167" t="s">
        <v>309</v>
      </c>
      <c r="Y167" t="s">
        <v>294</v>
      </c>
      <c r="Z167" t="s">
        <v>310</v>
      </c>
      <c r="AA167" t="s">
        <v>324</v>
      </c>
      <c r="AB167" t="s">
        <v>325</v>
      </c>
      <c r="AC167" t="s">
        <v>848</v>
      </c>
    </row>
    <row r="168" spans="1:29">
      <c r="A168" s="117" t="s">
        <v>849</v>
      </c>
      <c r="B168" t="s">
        <v>850</v>
      </c>
      <c r="C168" s="117" t="s">
        <v>851</v>
      </c>
      <c r="D168" t="s">
        <v>448</v>
      </c>
      <c r="E168" t="s">
        <v>283</v>
      </c>
      <c r="F168" t="s">
        <v>57</v>
      </c>
      <c r="G168" t="s">
        <v>319</v>
      </c>
      <c r="H168" t="s">
        <v>302</v>
      </c>
      <c r="I168" t="s">
        <v>285</v>
      </c>
      <c r="J168" t="s">
        <v>370</v>
      </c>
      <c r="K168" t="s">
        <v>626</v>
      </c>
      <c r="L168">
        <f>LEN(Tabela13[[#This Row],[Largura de copa (metros)]])</f>
        <v>5</v>
      </c>
      <c r="M168" t="str">
        <f>LEFT(Tabela13[[#This Row],[Largura de copa (metros)]],LEN(Tabela13[[#This Row],[Largura de copa (metros)]])-1)</f>
        <v>6-12</v>
      </c>
      <c r="N168" s="126" t="s">
        <v>1005</v>
      </c>
      <c r="O168" s="126" t="str">
        <f>"="&amp;Tabela13[[#This Row],[Coluna1]]</f>
        <v>=6-12</v>
      </c>
      <c r="P168" s="126">
        <f>6+12</f>
        <v>18</v>
      </c>
      <c r="Q168" s="126">
        <f>Tabela13[[#This Row],[Coluna 23]]/2</f>
        <v>9</v>
      </c>
      <c r="R168" t="s">
        <v>750</v>
      </c>
      <c r="S168" t="s">
        <v>495</v>
      </c>
      <c r="T168" t="s">
        <v>362</v>
      </c>
      <c r="U168" t="s">
        <v>292</v>
      </c>
      <c r="V168" t="s">
        <v>363</v>
      </c>
      <c r="W168" t="s">
        <v>298</v>
      </c>
      <c r="X168" t="s">
        <v>295</v>
      </c>
      <c r="Y168" t="s">
        <v>325</v>
      </c>
      <c r="Z168" t="s">
        <v>310</v>
      </c>
      <c r="AA168" t="s">
        <v>297</v>
      </c>
      <c r="AB168" t="s">
        <v>298</v>
      </c>
      <c r="AC168" t="s">
        <v>299</v>
      </c>
    </row>
    <row r="169" spans="1:29">
      <c r="A169" s="117" t="s">
        <v>852</v>
      </c>
      <c r="B169" t="s">
        <v>853</v>
      </c>
      <c r="C169" s="117" t="s">
        <v>851</v>
      </c>
      <c r="D169" t="s">
        <v>448</v>
      </c>
      <c r="E169" t="s">
        <v>283</v>
      </c>
      <c r="F169" t="s">
        <v>57</v>
      </c>
      <c r="G169" t="s">
        <v>319</v>
      </c>
      <c r="H169" t="s">
        <v>302</v>
      </c>
      <c r="I169" t="s">
        <v>286</v>
      </c>
      <c r="J169" t="s">
        <v>854</v>
      </c>
      <c r="K169" t="s">
        <v>855</v>
      </c>
      <c r="L169">
        <f>LEN(Tabela13[[#This Row],[Largura de copa (metros)]])</f>
        <v>6</v>
      </c>
      <c r="M169" t="str">
        <f>LEFT(Tabela13[[#This Row],[Largura de copa (metros)]],LEN(Tabela13[[#This Row],[Largura de copa (metros)]])-1)</f>
        <v>15-18</v>
      </c>
      <c r="N169" s="126" t="s">
        <v>1011</v>
      </c>
      <c r="O169" s="126" t="str">
        <f>"="&amp;Tabela13[[#This Row],[Coluna1]]</f>
        <v>=15-18</v>
      </c>
      <c r="P169" s="126">
        <f>15+18</f>
        <v>33</v>
      </c>
      <c r="Q169" s="126">
        <f>Tabela13[[#This Row],[Coluna 23]]/2</f>
        <v>16.5</v>
      </c>
      <c r="R169" t="s">
        <v>354</v>
      </c>
      <c r="S169" t="s">
        <v>328</v>
      </c>
      <c r="T169" t="s">
        <v>362</v>
      </c>
      <c r="U169" t="s">
        <v>292</v>
      </c>
      <c r="V169" t="s">
        <v>363</v>
      </c>
      <c r="W169" t="s">
        <v>294</v>
      </c>
      <c r="X169" t="s">
        <v>295</v>
      </c>
      <c r="Y169" t="s">
        <v>294</v>
      </c>
      <c r="Z169" t="s">
        <v>310</v>
      </c>
      <c r="AA169" t="s">
        <v>324</v>
      </c>
      <c r="AB169" t="s">
        <v>298</v>
      </c>
      <c r="AC169" t="s">
        <v>299</v>
      </c>
    </row>
    <row r="170" spans="1:29">
      <c r="A170" s="117" t="s">
        <v>856</v>
      </c>
      <c r="B170" t="s">
        <v>857</v>
      </c>
      <c r="C170" s="117" t="s">
        <v>851</v>
      </c>
      <c r="D170" t="s">
        <v>448</v>
      </c>
      <c r="E170" t="s">
        <v>353</v>
      </c>
      <c r="F170" t="s">
        <v>57</v>
      </c>
      <c r="G170" t="s">
        <v>319</v>
      </c>
      <c r="H170" t="s">
        <v>285</v>
      </c>
      <c r="I170" t="s">
        <v>285</v>
      </c>
      <c r="J170" t="s">
        <v>320</v>
      </c>
      <c r="K170" t="s">
        <v>321</v>
      </c>
      <c r="L170">
        <f>LEN(Tabela13[[#This Row],[Largura de copa (metros)]])</f>
        <v>5</v>
      </c>
      <c r="M170" t="str">
        <f>LEFT(Tabela13[[#This Row],[Largura de copa (metros)]],LEN(Tabela13[[#This Row],[Largura de copa (metros)]])-1)</f>
        <v>8-12</v>
      </c>
      <c r="N170" s="126" t="s">
        <v>977</v>
      </c>
      <c r="O170" s="126" t="str">
        <f>"="&amp;Tabela13[[#This Row],[Coluna1]]</f>
        <v>=8-12</v>
      </c>
      <c r="P170" s="126">
        <f>8+12</f>
        <v>20</v>
      </c>
      <c r="Q170" s="126">
        <f>Tabela13[[#This Row],[Coluna 23]]/2</f>
        <v>10</v>
      </c>
      <c r="R170" t="s">
        <v>354</v>
      </c>
      <c r="S170" t="s">
        <v>372</v>
      </c>
      <c r="T170" t="s">
        <v>362</v>
      </c>
      <c r="U170" t="s">
        <v>292</v>
      </c>
      <c r="V170" t="s">
        <v>363</v>
      </c>
      <c r="W170" t="s">
        <v>298</v>
      </c>
      <c r="X170" t="s">
        <v>309</v>
      </c>
      <c r="Y170" t="s">
        <v>294</v>
      </c>
      <c r="Z170" t="s">
        <v>310</v>
      </c>
      <c r="AA170" t="s">
        <v>311</v>
      </c>
      <c r="AB170" t="s">
        <v>298</v>
      </c>
      <c r="AC170" t="s">
        <v>299</v>
      </c>
    </row>
    <row r="171" spans="1:29">
      <c r="A171" s="117" t="s">
        <v>858</v>
      </c>
      <c r="B171" t="s">
        <v>859</v>
      </c>
      <c r="C171" s="117" t="s">
        <v>851</v>
      </c>
      <c r="D171" t="s">
        <v>448</v>
      </c>
      <c r="E171" t="s">
        <v>353</v>
      </c>
      <c r="F171" t="s">
        <v>57</v>
      </c>
      <c r="G171" t="s">
        <v>319</v>
      </c>
      <c r="H171" t="s">
        <v>285</v>
      </c>
      <c r="I171" t="s">
        <v>286</v>
      </c>
      <c r="J171" t="s">
        <v>320</v>
      </c>
      <c r="K171" t="s">
        <v>321</v>
      </c>
      <c r="L171">
        <f>LEN(Tabela13[[#This Row],[Largura de copa (metros)]])</f>
        <v>5</v>
      </c>
      <c r="M171" t="str">
        <f>LEFT(Tabela13[[#This Row],[Largura de copa (metros)]],LEN(Tabela13[[#This Row],[Largura de copa (metros)]])-1)</f>
        <v>8-12</v>
      </c>
      <c r="N171" s="126" t="s">
        <v>977</v>
      </c>
      <c r="O171" s="126" t="str">
        <f>"="&amp;Tabela13[[#This Row],[Coluna1]]</f>
        <v>=8-12</v>
      </c>
      <c r="P171" s="126">
        <f>8+12</f>
        <v>20</v>
      </c>
      <c r="Q171" s="126">
        <f>Tabela13[[#This Row],[Coluna 23]]/2</f>
        <v>10</v>
      </c>
      <c r="R171" t="s">
        <v>354</v>
      </c>
      <c r="S171" t="s">
        <v>372</v>
      </c>
      <c r="T171" t="s">
        <v>362</v>
      </c>
      <c r="U171" t="s">
        <v>292</v>
      </c>
      <c r="V171" t="s">
        <v>363</v>
      </c>
      <c r="W171" t="s">
        <v>294</v>
      </c>
      <c r="X171" t="s">
        <v>309</v>
      </c>
      <c r="Y171" t="s">
        <v>294</v>
      </c>
      <c r="Z171" t="s">
        <v>310</v>
      </c>
      <c r="AA171" t="s">
        <v>311</v>
      </c>
      <c r="AB171" t="s">
        <v>298</v>
      </c>
      <c r="AC171" t="s">
        <v>299</v>
      </c>
    </row>
    <row r="172" spans="1:29">
      <c r="A172" s="117" t="s">
        <v>860</v>
      </c>
      <c r="B172" t="s">
        <v>861</v>
      </c>
      <c r="C172" s="117" t="s">
        <v>851</v>
      </c>
      <c r="D172" t="s">
        <v>448</v>
      </c>
      <c r="E172" t="s">
        <v>283</v>
      </c>
      <c r="F172" t="s">
        <v>57</v>
      </c>
      <c r="G172" t="s">
        <v>319</v>
      </c>
      <c r="H172" t="s">
        <v>468</v>
      </c>
      <c r="I172" t="s">
        <v>285</v>
      </c>
      <c r="J172" t="s">
        <v>547</v>
      </c>
      <c r="K172" t="s">
        <v>290</v>
      </c>
      <c r="L172">
        <f>LEN(Tabela13[[#This Row],[Largura de copa (metros)]])</f>
        <v>4</v>
      </c>
      <c r="M172" t="str">
        <f>LEFT(Tabela13[[#This Row],[Largura de copa (metros)]],LEN(Tabela13[[#This Row],[Largura de copa (metros)]])-1)</f>
        <v>5-6</v>
      </c>
      <c r="N172" s="126" t="s">
        <v>1012</v>
      </c>
      <c r="O172" s="126" t="str">
        <f>"="&amp;Tabela13[[#This Row],[Coluna1]]</f>
        <v>=5-6</v>
      </c>
      <c r="P172" s="126">
        <f>5+6</f>
        <v>11</v>
      </c>
      <c r="Q172" s="126">
        <f>Tabela13[[#This Row],[Coluna 23]]/2</f>
        <v>5.5</v>
      </c>
      <c r="R172" t="s">
        <v>360</v>
      </c>
      <c r="S172" t="s">
        <v>551</v>
      </c>
      <c r="T172" t="s">
        <v>291</v>
      </c>
      <c r="U172" t="s">
        <v>292</v>
      </c>
      <c r="V172" t="s">
        <v>363</v>
      </c>
      <c r="W172" t="s">
        <v>294</v>
      </c>
      <c r="X172" t="s">
        <v>309</v>
      </c>
      <c r="Y172" t="s">
        <v>294</v>
      </c>
      <c r="Z172" t="s">
        <v>310</v>
      </c>
      <c r="AA172" t="s">
        <v>311</v>
      </c>
      <c r="AB172" t="s">
        <v>294</v>
      </c>
      <c r="AC172" t="s">
        <v>299</v>
      </c>
    </row>
    <row r="173" spans="1:29" s="122" customFormat="1">
      <c r="A173" s="117" t="s">
        <v>862</v>
      </c>
      <c r="B173" t="s">
        <v>850</v>
      </c>
      <c r="C173" s="117" t="s">
        <v>851</v>
      </c>
      <c r="D173" t="s">
        <v>448</v>
      </c>
      <c r="E173" t="s">
        <v>283</v>
      </c>
      <c r="F173" t="s">
        <v>57</v>
      </c>
      <c r="G173" t="s">
        <v>319</v>
      </c>
      <c r="H173" t="s">
        <v>302</v>
      </c>
      <c r="I173" t="s">
        <v>286</v>
      </c>
      <c r="J173" t="s">
        <v>304</v>
      </c>
      <c r="K173" t="s">
        <v>626</v>
      </c>
      <c r="L173">
        <f>LEN(Tabela13[[#This Row],[Largura de copa (metros)]])</f>
        <v>5</v>
      </c>
      <c r="M173" t="str">
        <f>LEFT(Tabela13[[#This Row],[Largura de copa (metros)]],LEN(Tabela13[[#This Row],[Largura de copa (metros)]])-1)</f>
        <v>6-12</v>
      </c>
      <c r="N173" s="126" t="s">
        <v>1005</v>
      </c>
      <c r="O173" s="126" t="str">
        <f>"="&amp;Tabela13[[#This Row],[Coluna1]]</f>
        <v>=6-12</v>
      </c>
      <c r="P173" s="126">
        <f>6+12</f>
        <v>18</v>
      </c>
      <c r="Q173" s="126">
        <f>Tabela13[[#This Row],[Coluna 23]]/2</f>
        <v>9</v>
      </c>
      <c r="R173" t="s">
        <v>354</v>
      </c>
      <c r="S173" t="s">
        <v>495</v>
      </c>
      <c r="T173" t="s">
        <v>362</v>
      </c>
      <c r="U173" t="s">
        <v>292</v>
      </c>
      <c r="V173" t="s">
        <v>363</v>
      </c>
      <c r="W173" t="s">
        <v>294</v>
      </c>
      <c r="X173" t="s">
        <v>295</v>
      </c>
      <c r="Y173" t="s">
        <v>294</v>
      </c>
      <c r="Z173" t="s">
        <v>323</v>
      </c>
      <c r="AA173" t="s">
        <v>297</v>
      </c>
      <c r="AB173" t="s">
        <v>298</v>
      </c>
      <c r="AC173" t="s">
        <v>299</v>
      </c>
    </row>
    <row r="174" spans="1:29">
      <c r="A174" s="117" t="s">
        <v>165</v>
      </c>
      <c r="B174" t="s">
        <v>863</v>
      </c>
      <c r="C174" s="117" t="s">
        <v>851</v>
      </c>
      <c r="D174" t="s">
        <v>448</v>
      </c>
      <c r="E174" t="s">
        <v>353</v>
      </c>
      <c r="F174" t="s">
        <v>57</v>
      </c>
      <c r="G174" t="s">
        <v>284</v>
      </c>
      <c r="H174" t="s">
        <v>468</v>
      </c>
      <c r="I174" t="s">
        <v>285</v>
      </c>
      <c r="J174" t="s">
        <v>312</v>
      </c>
      <c r="K174" t="s">
        <v>288</v>
      </c>
      <c r="L174">
        <f>LEN(Tabela13[[#This Row],[Largura de copa (metros)]])</f>
        <v>4</v>
      </c>
      <c r="M174" t="str">
        <f>LEFT(Tabela13[[#This Row],[Largura de copa (metros)]],LEN(Tabela13[[#This Row],[Largura de copa (metros)]])-1)</f>
        <v>6-8</v>
      </c>
      <c r="N174" s="126" t="s">
        <v>968</v>
      </c>
      <c r="O174" s="126" t="str">
        <f>"="&amp;Tabela13[[#This Row],[Coluna1]]</f>
        <v>=6-8</v>
      </c>
      <c r="P174" s="126">
        <f>6+8</f>
        <v>14</v>
      </c>
      <c r="Q174" s="126">
        <f>Tabela13[[#This Row],[Coluna 23]]/2</f>
        <v>7</v>
      </c>
      <c r="R174" t="s">
        <v>411</v>
      </c>
      <c r="S174" t="s">
        <v>290</v>
      </c>
      <c r="T174" t="s">
        <v>291</v>
      </c>
      <c r="U174" t="s">
        <v>292</v>
      </c>
      <c r="V174" t="s">
        <v>293</v>
      </c>
      <c r="W174" t="s">
        <v>298</v>
      </c>
      <c r="X174" t="s">
        <v>309</v>
      </c>
      <c r="Y174" t="s">
        <v>294</v>
      </c>
      <c r="Z174" t="s">
        <v>323</v>
      </c>
      <c r="AA174" t="s">
        <v>311</v>
      </c>
      <c r="AB174" t="s">
        <v>298</v>
      </c>
      <c r="AC174" t="s">
        <v>299</v>
      </c>
    </row>
    <row r="175" spans="1:29">
      <c r="A175" s="117" t="s">
        <v>864</v>
      </c>
      <c r="B175" t="s">
        <v>865</v>
      </c>
      <c r="C175" s="117" t="s">
        <v>866</v>
      </c>
      <c r="D175" t="s">
        <v>394</v>
      </c>
      <c r="E175" t="s">
        <v>353</v>
      </c>
      <c r="F175" t="s">
        <v>57</v>
      </c>
      <c r="G175" t="s">
        <v>284</v>
      </c>
      <c r="H175" t="s">
        <v>285</v>
      </c>
      <c r="I175" t="s">
        <v>303</v>
      </c>
      <c r="J175" t="s">
        <v>320</v>
      </c>
      <c r="K175" t="s">
        <v>867</v>
      </c>
      <c r="L175">
        <f>LEN(Tabela13[[#This Row],[Largura de copa (metros)]])</f>
        <v>6</v>
      </c>
      <c r="M175" t="str">
        <f>LEFT(Tabela13[[#This Row],[Largura de copa (metros)]],LEN(Tabela13[[#This Row],[Largura de copa (metros)]])-1)</f>
        <v>2,5-4</v>
      </c>
      <c r="N175" s="126" t="s">
        <v>1013</v>
      </c>
      <c r="O175" s="126" t="str">
        <f>"="&amp;Tabela13[[#This Row],[Coluna1]]</f>
        <v>=2,5-4</v>
      </c>
      <c r="P175" s="126">
        <f>2.5+4</f>
        <v>6.5</v>
      </c>
      <c r="Q175" s="126">
        <f>Tabela13[[#This Row],[Coluna 23]]/2</f>
        <v>3.25</v>
      </c>
      <c r="R175" t="s">
        <v>306</v>
      </c>
      <c r="S175" t="s">
        <v>867</v>
      </c>
      <c r="T175" t="s">
        <v>342</v>
      </c>
      <c r="U175" t="s">
        <v>307</v>
      </c>
      <c r="V175" t="s">
        <v>299</v>
      </c>
      <c r="W175" t="s">
        <v>294</v>
      </c>
      <c r="X175" t="s">
        <v>299</v>
      </c>
      <c r="Y175" t="s">
        <v>294</v>
      </c>
      <c r="Z175" t="s">
        <v>323</v>
      </c>
      <c r="AA175" t="s">
        <v>868</v>
      </c>
      <c r="AB175" t="s">
        <v>299</v>
      </c>
      <c r="AC175" t="s">
        <v>299</v>
      </c>
    </row>
    <row r="176" spans="1:29" s="121" customFormat="1">
      <c r="A176" s="120" t="s">
        <v>869</v>
      </c>
      <c r="B176" t="s">
        <v>299</v>
      </c>
      <c r="C176" s="120" t="s">
        <v>870</v>
      </c>
      <c r="D176" t="s">
        <v>299</v>
      </c>
      <c r="E176" s="121" t="s">
        <v>283</v>
      </c>
      <c r="F176" s="121" t="s">
        <v>57</v>
      </c>
      <c r="G176" s="121" t="s">
        <v>284</v>
      </c>
      <c r="H176" t="s">
        <v>299</v>
      </c>
      <c r="I176" s="121" t="s">
        <v>303</v>
      </c>
      <c r="J176" s="121" t="s">
        <v>304</v>
      </c>
      <c r="K176" s="121" t="s">
        <v>871</v>
      </c>
      <c r="L176" s="121">
        <f>LEN(Tabela13[[#This Row],[Largura de copa (metros)]])</f>
        <v>6</v>
      </c>
      <c r="M176" s="121" t="str">
        <f>LEFT(Tabela13[[#This Row],[Largura de copa (metros)]],LEN(Tabela13[[#This Row],[Largura de copa (metros)]])-1)</f>
        <v>1-1,5</v>
      </c>
      <c r="N176" s="127" t="s">
        <v>1014</v>
      </c>
      <c r="O176" s="127" t="str">
        <f>"="&amp;Tabela13[[#This Row],[Coluna1]]</f>
        <v>=1-1,5</v>
      </c>
      <c r="P176" s="127">
        <f>1+1.5</f>
        <v>2.5</v>
      </c>
      <c r="Q176" s="127">
        <f>Tabela13[[#This Row],[Coluna 23]]/2</f>
        <v>1.25</v>
      </c>
      <c r="R176" s="121" t="s">
        <v>871</v>
      </c>
      <c r="S176" s="121" t="s">
        <v>871</v>
      </c>
      <c r="T176" s="121" t="s">
        <v>342</v>
      </c>
      <c r="U176" t="s">
        <v>307</v>
      </c>
      <c r="V176" s="121" t="s">
        <v>299</v>
      </c>
      <c r="W176" s="121" t="s">
        <v>299</v>
      </c>
      <c r="X176" s="121" t="s">
        <v>299</v>
      </c>
      <c r="Y176" s="121" t="s">
        <v>299</v>
      </c>
      <c r="Z176" s="121" t="s">
        <v>310</v>
      </c>
      <c r="AA176" s="121" t="s">
        <v>299</v>
      </c>
      <c r="AB176" s="121" t="s">
        <v>299</v>
      </c>
      <c r="AC176" s="121" t="s">
        <v>299</v>
      </c>
    </row>
    <row r="177" spans="1:29">
      <c r="A177" s="117" t="s">
        <v>872</v>
      </c>
      <c r="B177" t="s">
        <v>873</v>
      </c>
      <c r="C177" s="117" t="s">
        <v>874</v>
      </c>
      <c r="D177" t="s">
        <v>301</v>
      </c>
      <c r="E177" t="s">
        <v>283</v>
      </c>
      <c r="F177" t="s">
        <v>57</v>
      </c>
      <c r="G177" t="s">
        <v>319</v>
      </c>
      <c r="H177" t="s">
        <v>302</v>
      </c>
      <c r="I177" t="s">
        <v>285</v>
      </c>
      <c r="J177" t="s">
        <v>312</v>
      </c>
      <c r="K177" t="s">
        <v>305</v>
      </c>
      <c r="L177">
        <f>LEN(Tabela13[[#This Row],[Largura de copa (metros)]])</f>
        <v>4</v>
      </c>
      <c r="M177" t="str">
        <f>LEFT(Tabela13[[#This Row],[Largura de copa (metros)]],LEN(Tabela13[[#This Row],[Largura de copa (metros)]])-1)</f>
        <v>4-6</v>
      </c>
      <c r="N177" s="126" t="s">
        <v>969</v>
      </c>
      <c r="O177" s="126" t="str">
        <f>"="&amp;Tabela13[[#This Row],[Coluna1]]</f>
        <v>=4-6</v>
      </c>
      <c r="P177" s="126">
        <f>4+6</f>
        <v>10</v>
      </c>
      <c r="Q177" s="126">
        <f>Tabela13[[#This Row],[Coluna 23]]/2</f>
        <v>5</v>
      </c>
      <c r="R177" t="s">
        <v>321</v>
      </c>
      <c r="S177" t="s">
        <v>306</v>
      </c>
      <c r="T177" t="s">
        <v>291</v>
      </c>
      <c r="U177" t="s">
        <v>322</v>
      </c>
      <c r="V177" t="s">
        <v>363</v>
      </c>
      <c r="W177" t="s">
        <v>294</v>
      </c>
      <c r="X177" t="s">
        <v>309</v>
      </c>
      <c r="Y177" t="s">
        <v>325</v>
      </c>
      <c r="Z177" t="s">
        <v>310</v>
      </c>
      <c r="AA177" t="s">
        <v>297</v>
      </c>
      <c r="AB177" t="s">
        <v>294</v>
      </c>
      <c r="AC177" t="s">
        <v>314</v>
      </c>
    </row>
    <row r="178" spans="1:29">
      <c r="A178" s="117" t="s">
        <v>875</v>
      </c>
      <c r="B178" t="s">
        <v>876</v>
      </c>
      <c r="C178" s="117" t="s">
        <v>877</v>
      </c>
      <c r="D178" t="s">
        <v>804</v>
      </c>
      <c r="E178" t="s">
        <v>353</v>
      </c>
      <c r="F178" t="s">
        <v>57</v>
      </c>
      <c r="G178" t="s">
        <v>319</v>
      </c>
      <c r="H178" t="s">
        <v>302</v>
      </c>
      <c r="I178" t="s">
        <v>285</v>
      </c>
      <c r="J178" t="s">
        <v>320</v>
      </c>
      <c r="K178" t="s">
        <v>305</v>
      </c>
      <c r="L178">
        <f>LEN(Tabela13[[#This Row],[Largura de copa (metros)]])</f>
        <v>4</v>
      </c>
      <c r="M178" t="str">
        <f>LEFT(Tabela13[[#This Row],[Largura de copa (metros)]],LEN(Tabela13[[#This Row],[Largura de copa (metros)]])-1)</f>
        <v>4-6</v>
      </c>
      <c r="N178" s="126" t="s">
        <v>969</v>
      </c>
      <c r="O178" s="126" t="str">
        <f>"="&amp;Tabela13[[#This Row],[Coluna1]]</f>
        <v>=4-6</v>
      </c>
      <c r="P178" s="126">
        <f>4+6</f>
        <v>10</v>
      </c>
      <c r="Q178" s="126">
        <f>Tabela13[[#This Row],[Coluna 23]]/2</f>
        <v>5</v>
      </c>
      <c r="R178" t="s">
        <v>349</v>
      </c>
      <c r="S178" t="s">
        <v>306</v>
      </c>
      <c r="T178" t="s">
        <v>291</v>
      </c>
      <c r="U178" t="s">
        <v>292</v>
      </c>
      <c r="V178" t="s">
        <v>384</v>
      </c>
      <c r="W178" t="s">
        <v>294</v>
      </c>
      <c r="X178" t="s">
        <v>309</v>
      </c>
      <c r="Y178" t="s">
        <v>294</v>
      </c>
      <c r="Z178" t="s">
        <v>878</v>
      </c>
      <c r="AA178" t="s">
        <v>311</v>
      </c>
      <c r="AB178" t="s">
        <v>294</v>
      </c>
      <c r="AC178" t="s">
        <v>385</v>
      </c>
    </row>
    <row r="179" spans="1:29">
      <c r="A179" s="117" t="s">
        <v>879</v>
      </c>
      <c r="B179" t="s">
        <v>880</v>
      </c>
      <c r="C179" s="117" t="s">
        <v>877</v>
      </c>
      <c r="D179" t="s">
        <v>804</v>
      </c>
      <c r="E179" t="s">
        <v>299</v>
      </c>
      <c r="F179" t="s">
        <v>57</v>
      </c>
      <c r="G179" t="s">
        <v>319</v>
      </c>
      <c r="H179" t="s">
        <v>302</v>
      </c>
      <c r="I179" t="s">
        <v>285</v>
      </c>
      <c r="J179" t="s">
        <v>416</v>
      </c>
      <c r="K179" t="s">
        <v>372</v>
      </c>
      <c r="L179">
        <f>LEN(Tabela13[[#This Row],[Largura de copa (metros)]])</f>
        <v>5</v>
      </c>
      <c r="M179" t="str">
        <f>LEFT(Tabela13[[#This Row],[Largura de copa (metros)]],LEN(Tabela13[[#This Row],[Largura de copa (metros)]])-1)</f>
        <v>6-10</v>
      </c>
      <c r="N179" s="126" t="s">
        <v>980</v>
      </c>
      <c r="O179" s="126" t="str">
        <f>"="&amp;Tabela13[[#This Row],[Coluna1]]</f>
        <v>=6-10</v>
      </c>
      <c r="P179" s="126">
        <f>6+10</f>
        <v>16</v>
      </c>
      <c r="Q179" s="126">
        <f>Tabela13[[#This Row],[Coluna 23]]/2</f>
        <v>8</v>
      </c>
      <c r="R179" t="s">
        <v>321</v>
      </c>
      <c r="S179" t="s">
        <v>327</v>
      </c>
      <c r="T179" t="s">
        <v>291</v>
      </c>
      <c r="U179" t="s">
        <v>322</v>
      </c>
      <c r="V179" t="s">
        <v>384</v>
      </c>
      <c r="W179" t="s">
        <v>294</v>
      </c>
      <c r="X179" t="s">
        <v>309</v>
      </c>
      <c r="Y179" t="s">
        <v>294</v>
      </c>
      <c r="Z179" t="s">
        <v>878</v>
      </c>
      <c r="AA179" t="s">
        <v>311</v>
      </c>
      <c r="AB179" t="s">
        <v>298</v>
      </c>
      <c r="AC179" t="s">
        <v>385</v>
      </c>
    </row>
    <row r="180" spans="1:29" s="121" customFormat="1">
      <c r="A180" s="120" t="s">
        <v>881</v>
      </c>
      <c r="B180" t="s">
        <v>299</v>
      </c>
      <c r="C180" s="120" t="s">
        <v>877</v>
      </c>
      <c r="D180" s="121" t="s">
        <v>804</v>
      </c>
      <c r="E180" s="121" t="s">
        <v>353</v>
      </c>
      <c r="F180" s="121" t="s">
        <v>57</v>
      </c>
      <c r="G180" s="121" t="s">
        <v>319</v>
      </c>
      <c r="H180" t="s">
        <v>299</v>
      </c>
      <c r="I180" s="121" t="s">
        <v>303</v>
      </c>
      <c r="J180" s="121" t="s">
        <v>882</v>
      </c>
      <c r="K180" s="121" t="s">
        <v>336</v>
      </c>
      <c r="L180" s="121">
        <f>LEN(Tabela13[[#This Row],[Largura de copa (metros)]])</f>
        <v>4</v>
      </c>
      <c r="M180" s="121" t="str">
        <f>LEFT(Tabela13[[#This Row],[Largura de copa (metros)]],LEN(Tabela13[[#This Row],[Largura de copa (metros)]])-1)</f>
        <v>2-4</v>
      </c>
      <c r="N180" s="127" t="s">
        <v>972</v>
      </c>
      <c r="O180" s="127" t="str">
        <f>"="&amp;Tabela13[[#This Row],[Coluna1]]</f>
        <v>=2-4</v>
      </c>
      <c r="P180" s="127">
        <f>2+4</f>
        <v>6</v>
      </c>
      <c r="Q180" s="127">
        <f>Tabela13[[#This Row],[Coluna 23]]/2</f>
        <v>3</v>
      </c>
      <c r="R180" s="121" t="s">
        <v>376</v>
      </c>
      <c r="S180" s="121" t="s">
        <v>336</v>
      </c>
      <c r="T180" s="121" t="s">
        <v>342</v>
      </c>
      <c r="U180" t="s">
        <v>378</v>
      </c>
      <c r="V180" s="121" t="s">
        <v>408</v>
      </c>
      <c r="W180" s="121" t="s">
        <v>294</v>
      </c>
      <c r="X180" s="121" t="s">
        <v>309</v>
      </c>
      <c r="Y180" s="121" t="s">
        <v>294</v>
      </c>
      <c r="Z180" s="121" t="s">
        <v>496</v>
      </c>
      <c r="AA180" s="121" t="s">
        <v>311</v>
      </c>
      <c r="AB180" s="121" t="s">
        <v>299</v>
      </c>
      <c r="AC180" s="121" t="s">
        <v>385</v>
      </c>
    </row>
    <row r="181" spans="1:29">
      <c r="A181" s="117" t="s">
        <v>883</v>
      </c>
      <c r="B181" t="s">
        <v>880</v>
      </c>
      <c r="C181" s="117" t="s">
        <v>877</v>
      </c>
      <c r="D181" t="s">
        <v>804</v>
      </c>
      <c r="E181" t="s">
        <v>283</v>
      </c>
      <c r="F181" t="s">
        <v>57</v>
      </c>
      <c r="G181" t="s">
        <v>319</v>
      </c>
      <c r="H181" t="s">
        <v>302</v>
      </c>
      <c r="I181" t="s">
        <v>286</v>
      </c>
      <c r="J181" t="s">
        <v>416</v>
      </c>
      <c r="K181" t="s">
        <v>884</v>
      </c>
      <c r="L181">
        <f>LEN(Tabela13[[#This Row],[Largura de copa (metros)]])</f>
        <v>6</v>
      </c>
      <c r="M181" t="str">
        <f>LEFT(Tabela13[[#This Row],[Largura de copa (metros)]],LEN(Tabela13[[#This Row],[Largura de copa (metros)]])-1)</f>
        <v>20-15</v>
      </c>
      <c r="N181" s="126" t="s">
        <v>1015</v>
      </c>
      <c r="O181" s="126" t="str">
        <f>"="&amp;Tabela13[[#This Row],[Coluna1]]</f>
        <v>=20-15</v>
      </c>
      <c r="P181" s="126">
        <f>20+15</f>
        <v>35</v>
      </c>
      <c r="Q181" s="126">
        <f>Tabela13[[#This Row],[Coluna 23]]/2</f>
        <v>17.5</v>
      </c>
      <c r="R181" t="s">
        <v>360</v>
      </c>
      <c r="S181" t="s">
        <v>885</v>
      </c>
      <c r="T181" t="s">
        <v>362</v>
      </c>
      <c r="U181" t="s">
        <v>292</v>
      </c>
      <c r="V181" t="s">
        <v>384</v>
      </c>
      <c r="W181" t="s">
        <v>294</v>
      </c>
      <c r="X181" t="s">
        <v>309</v>
      </c>
      <c r="Y181" t="s">
        <v>294</v>
      </c>
      <c r="Z181" t="s">
        <v>310</v>
      </c>
      <c r="AA181" t="s">
        <v>311</v>
      </c>
      <c r="AB181" t="s">
        <v>298</v>
      </c>
      <c r="AC181" t="s">
        <v>385</v>
      </c>
    </row>
    <row r="182" spans="1:29">
      <c r="A182" s="117" t="s">
        <v>886</v>
      </c>
      <c r="B182" t="s">
        <v>887</v>
      </c>
      <c r="C182" s="117" t="s">
        <v>888</v>
      </c>
      <c r="D182" t="s">
        <v>889</v>
      </c>
      <c r="E182" t="s">
        <v>283</v>
      </c>
      <c r="F182" t="s">
        <v>57</v>
      </c>
      <c r="G182" t="s">
        <v>284</v>
      </c>
      <c r="H182" t="s">
        <v>302</v>
      </c>
      <c r="I182" t="s">
        <v>285</v>
      </c>
      <c r="J182" t="s">
        <v>416</v>
      </c>
      <c r="K182" t="s">
        <v>305</v>
      </c>
      <c r="L182">
        <f>LEN(Tabela13[[#This Row],[Largura de copa (metros)]])</f>
        <v>4</v>
      </c>
      <c r="M182" t="str">
        <f>LEFT(Tabela13[[#This Row],[Largura de copa (metros)]],LEN(Tabela13[[#This Row],[Largura de copa (metros)]])-1)</f>
        <v>4-6</v>
      </c>
      <c r="N182" s="126" t="s">
        <v>969</v>
      </c>
      <c r="O182" s="126" t="str">
        <f>"="&amp;Tabela13[[#This Row],[Coluna1]]</f>
        <v>=4-6</v>
      </c>
      <c r="P182" s="126">
        <f>4+6</f>
        <v>10</v>
      </c>
      <c r="Q182" s="126">
        <f>Tabela13[[#This Row],[Coluna 23]]/2</f>
        <v>5</v>
      </c>
      <c r="R182" t="s">
        <v>372</v>
      </c>
      <c r="S182" t="s">
        <v>306</v>
      </c>
      <c r="T182" t="s">
        <v>291</v>
      </c>
      <c r="U182" t="s">
        <v>378</v>
      </c>
      <c r="V182" t="s">
        <v>308</v>
      </c>
      <c r="W182" t="s">
        <v>294</v>
      </c>
      <c r="X182" t="s">
        <v>309</v>
      </c>
      <c r="Y182" t="s">
        <v>294</v>
      </c>
      <c r="Z182" t="s">
        <v>323</v>
      </c>
      <c r="AA182" t="s">
        <v>297</v>
      </c>
      <c r="AB182" t="s">
        <v>299</v>
      </c>
      <c r="AC182" t="s">
        <v>299</v>
      </c>
    </row>
    <row r="183" spans="1:29">
      <c r="A183" s="117" t="s">
        <v>890</v>
      </c>
      <c r="B183" t="s">
        <v>891</v>
      </c>
      <c r="C183" s="117" t="s">
        <v>892</v>
      </c>
      <c r="D183" t="s">
        <v>492</v>
      </c>
      <c r="E183" t="s">
        <v>283</v>
      </c>
      <c r="F183" t="s">
        <v>57</v>
      </c>
      <c r="G183" t="s">
        <v>284</v>
      </c>
      <c r="H183" t="s">
        <v>302</v>
      </c>
      <c r="I183" t="s">
        <v>286</v>
      </c>
      <c r="J183" t="s">
        <v>493</v>
      </c>
      <c r="K183" t="s">
        <v>519</v>
      </c>
      <c r="L183">
        <f>LEN(Tabela13[[#This Row],[Largura de copa (metros)]])</f>
        <v>5</v>
      </c>
      <c r="M183" t="str">
        <f>LEFT(Tabela13[[#This Row],[Largura de copa (metros)]],LEN(Tabela13[[#This Row],[Largura de copa (metros)]])-1)</f>
        <v>8-15</v>
      </c>
      <c r="N183" s="126" t="s">
        <v>994</v>
      </c>
      <c r="O183" s="126" t="str">
        <f>"="&amp;Tabela13[[#This Row],[Coluna1]]</f>
        <v>=8-15</v>
      </c>
      <c r="P183" s="126">
        <f>8+15</f>
        <v>23</v>
      </c>
      <c r="Q183" s="126">
        <f>Tabela13[[#This Row],[Coluna 23]]/2</f>
        <v>11.5</v>
      </c>
      <c r="R183" t="s">
        <v>586</v>
      </c>
      <c r="S183" t="s">
        <v>626</v>
      </c>
      <c r="T183" t="s">
        <v>362</v>
      </c>
      <c r="U183" t="s">
        <v>292</v>
      </c>
      <c r="V183" t="s">
        <v>293</v>
      </c>
      <c r="W183" t="s">
        <v>294</v>
      </c>
      <c r="X183" t="s">
        <v>309</v>
      </c>
      <c r="Y183" t="s">
        <v>294</v>
      </c>
      <c r="Z183" t="s">
        <v>323</v>
      </c>
      <c r="AA183" t="s">
        <v>324</v>
      </c>
      <c r="AB183" t="s">
        <v>325</v>
      </c>
      <c r="AC183" t="s">
        <v>299</v>
      </c>
    </row>
    <row r="184" spans="1:29">
      <c r="A184" s="117" t="s">
        <v>893</v>
      </c>
      <c r="B184" t="s">
        <v>894</v>
      </c>
      <c r="C184" s="117" t="s">
        <v>895</v>
      </c>
      <c r="D184" t="s">
        <v>301</v>
      </c>
      <c r="E184" t="s">
        <v>283</v>
      </c>
      <c r="F184" t="s">
        <v>57</v>
      </c>
      <c r="G184" t="s">
        <v>319</v>
      </c>
      <c r="H184" t="s">
        <v>285</v>
      </c>
      <c r="I184" t="s">
        <v>286</v>
      </c>
      <c r="J184" t="s">
        <v>312</v>
      </c>
      <c r="K184" t="s">
        <v>376</v>
      </c>
      <c r="L184">
        <f>LEN(Tabela13[[#This Row],[Largura de copa (metros)]])</f>
        <v>4</v>
      </c>
      <c r="M184" t="str">
        <f>LEFT(Tabela13[[#This Row],[Largura de copa (metros)]],LEN(Tabela13[[#This Row],[Largura de copa (metros)]])-1)</f>
        <v>4-8</v>
      </c>
      <c r="N184" s="126" t="s">
        <v>978</v>
      </c>
      <c r="O184" s="126" t="str">
        <f>"="&amp;Tabela13[[#This Row],[Coluna1]]</f>
        <v>=4-8</v>
      </c>
      <c r="P184" s="126">
        <f>4+8</f>
        <v>12</v>
      </c>
      <c r="Q184" s="126">
        <f>Tabela13[[#This Row],[Coluna 23]]/2</f>
        <v>6</v>
      </c>
      <c r="R184" t="s">
        <v>360</v>
      </c>
      <c r="S184" t="s">
        <v>341</v>
      </c>
      <c r="T184" t="s">
        <v>291</v>
      </c>
      <c r="U184" t="s">
        <v>292</v>
      </c>
      <c r="V184" t="s">
        <v>293</v>
      </c>
      <c r="W184" t="s">
        <v>294</v>
      </c>
      <c r="X184" t="s">
        <v>309</v>
      </c>
      <c r="Y184" t="s">
        <v>325</v>
      </c>
      <c r="Z184" t="s">
        <v>323</v>
      </c>
      <c r="AA184" t="s">
        <v>311</v>
      </c>
      <c r="AB184" t="s">
        <v>325</v>
      </c>
      <c r="AC184" t="s">
        <v>299</v>
      </c>
    </row>
    <row r="185" spans="1:29">
      <c r="A185" s="117" t="s">
        <v>896</v>
      </c>
      <c r="B185" t="s">
        <v>894</v>
      </c>
      <c r="C185" s="117" t="s">
        <v>895</v>
      </c>
      <c r="D185" t="s">
        <v>301</v>
      </c>
      <c r="E185" t="s">
        <v>283</v>
      </c>
      <c r="F185" t="s">
        <v>57</v>
      </c>
      <c r="G185" t="s">
        <v>319</v>
      </c>
      <c r="H185" t="s">
        <v>285</v>
      </c>
      <c r="I185" t="s">
        <v>285</v>
      </c>
      <c r="J185" t="s">
        <v>416</v>
      </c>
      <c r="K185" t="s">
        <v>305</v>
      </c>
      <c r="L185">
        <f>LEN(Tabela13[[#This Row],[Largura de copa (metros)]])</f>
        <v>4</v>
      </c>
      <c r="M185" t="str">
        <f>LEFT(Tabela13[[#This Row],[Largura de copa (metros)]],LEN(Tabela13[[#This Row],[Largura de copa (metros)]])-1)</f>
        <v>4-6</v>
      </c>
      <c r="N185" s="126" t="s">
        <v>969</v>
      </c>
      <c r="O185" s="126" t="str">
        <f>"="&amp;Tabela13[[#This Row],[Coluna1]]</f>
        <v>=4-6</v>
      </c>
      <c r="P185" s="126">
        <f>4+6</f>
        <v>10</v>
      </c>
      <c r="Q185" s="126">
        <f>Tabela13[[#This Row],[Coluna 23]]/2</f>
        <v>5</v>
      </c>
      <c r="R185" t="s">
        <v>402</v>
      </c>
      <c r="S185" t="s">
        <v>306</v>
      </c>
      <c r="T185" t="s">
        <v>291</v>
      </c>
      <c r="U185" t="s">
        <v>322</v>
      </c>
      <c r="V185" t="s">
        <v>293</v>
      </c>
      <c r="W185" t="s">
        <v>294</v>
      </c>
      <c r="X185" t="s">
        <v>309</v>
      </c>
      <c r="Y185" t="s">
        <v>298</v>
      </c>
      <c r="Z185" t="s">
        <v>310</v>
      </c>
      <c r="AA185" t="s">
        <v>311</v>
      </c>
      <c r="AB185" t="s">
        <v>325</v>
      </c>
      <c r="AC185" t="s">
        <v>299</v>
      </c>
    </row>
    <row r="186" spans="1:29">
      <c r="A186" s="117" t="s">
        <v>897</v>
      </c>
      <c r="B186" t="s">
        <v>898</v>
      </c>
      <c r="C186" s="117" t="s">
        <v>899</v>
      </c>
      <c r="D186" t="s">
        <v>540</v>
      </c>
      <c r="E186" t="s">
        <v>353</v>
      </c>
      <c r="F186" t="s">
        <v>57</v>
      </c>
      <c r="G186" t="s">
        <v>319</v>
      </c>
      <c r="H186" t="s">
        <v>285</v>
      </c>
      <c r="I186" t="s">
        <v>285</v>
      </c>
      <c r="J186" t="s">
        <v>304</v>
      </c>
      <c r="K186" t="s">
        <v>341</v>
      </c>
      <c r="L186">
        <f>LEN(Tabela13[[#This Row],[Largura de copa (metros)]])</f>
        <v>4</v>
      </c>
      <c r="M186" t="str">
        <f>LEFT(Tabela13[[#This Row],[Largura de copa (metros)]],LEN(Tabela13[[#This Row],[Largura de copa (metros)]])-1)</f>
        <v>3-6</v>
      </c>
      <c r="N186" s="126" t="s">
        <v>1007</v>
      </c>
      <c r="O186" s="126" t="str">
        <f>"="&amp;Tabela13[[#This Row],[Coluna1]]</f>
        <v>=3-6</v>
      </c>
      <c r="P186" s="126">
        <f>3+6</f>
        <v>9</v>
      </c>
      <c r="Q186" s="126">
        <f>Tabela13[[#This Row],[Coluna 23]]/2</f>
        <v>4.5</v>
      </c>
      <c r="R186" t="s">
        <v>349</v>
      </c>
      <c r="S186" t="s">
        <v>306</v>
      </c>
      <c r="T186" t="s">
        <v>291</v>
      </c>
      <c r="U186" t="s">
        <v>292</v>
      </c>
      <c r="V186" t="s">
        <v>363</v>
      </c>
      <c r="W186" t="s">
        <v>294</v>
      </c>
      <c r="X186" t="s">
        <v>295</v>
      </c>
      <c r="Y186" t="s">
        <v>294</v>
      </c>
      <c r="Z186" t="s">
        <v>323</v>
      </c>
      <c r="AA186" t="s">
        <v>297</v>
      </c>
      <c r="AB186" t="s">
        <v>298</v>
      </c>
      <c r="AC186" t="s">
        <v>299</v>
      </c>
    </row>
    <row r="187" spans="1:29" s="121" customFormat="1">
      <c r="A187" s="120" t="s">
        <v>900</v>
      </c>
      <c r="B187" s="121" t="s">
        <v>901</v>
      </c>
      <c r="C187" s="120" t="s">
        <v>902</v>
      </c>
      <c r="D187" s="121" t="s">
        <v>903</v>
      </c>
      <c r="E187" s="121" t="s">
        <v>353</v>
      </c>
      <c r="F187" s="121" t="s">
        <v>57</v>
      </c>
      <c r="G187" s="121" t="s">
        <v>319</v>
      </c>
      <c r="H187" t="s">
        <v>299</v>
      </c>
      <c r="I187" s="121" t="s">
        <v>303</v>
      </c>
      <c r="J187" s="121" t="s">
        <v>882</v>
      </c>
      <c r="K187" s="121" t="s">
        <v>336</v>
      </c>
      <c r="L187" s="121">
        <f>LEN(Tabela13[[#This Row],[Largura de copa (metros)]])</f>
        <v>4</v>
      </c>
      <c r="M187" s="121" t="str">
        <f>LEFT(Tabela13[[#This Row],[Largura de copa (metros)]],LEN(Tabela13[[#This Row],[Largura de copa (metros)]])-1)</f>
        <v>2-4</v>
      </c>
      <c r="N187" s="127" t="s">
        <v>972</v>
      </c>
      <c r="O187" s="127" t="str">
        <f>"="&amp;Tabela13[[#This Row],[Coluna1]]</f>
        <v>=2-4</v>
      </c>
      <c r="P187" s="127">
        <f>2+4</f>
        <v>6</v>
      </c>
      <c r="Q187" s="127">
        <f>Tabela13[[#This Row],[Coluna 23]]/2</f>
        <v>3</v>
      </c>
      <c r="R187" s="121" t="s">
        <v>305</v>
      </c>
      <c r="S187" s="121" t="s">
        <v>336</v>
      </c>
      <c r="T187" s="121" t="s">
        <v>342</v>
      </c>
      <c r="U187" t="s">
        <v>378</v>
      </c>
      <c r="V187" s="121" t="s">
        <v>293</v>
      </c>
      <c r="W187" t="s">
        <v>299</v>
      </c>
      <c r="X187" s="121" t="s">
        <v>390</v>
      </c>
      <c r="Y187" s="121" t="s">
        <v>294</v>
      </c>
      <c r="Z187" s="121" t="s">
        <v>310</v>
      </c>
      <c r="AA187" s="121" t="s">
        <v>311</v>
      </c>
      <c r="AB187" s="121" t="s">
        <v>299</v>
      </c>
      <c r="AC187" s="121" t="s">
        <v>299</v>
      </c>
    </row>
    <row r="188" spans="1:29">
      <c r="A188" s="117" t="s">
        <v>904</v>
      </c>
      <c r="B188" t="s">
        <v>905</v>
      </c>
      <c r="C188" s="117" t="s">
        <v>902</v>
      </c>
      <c r="D188" t="s">
        <v>903</v>
      </c>
      <c r="E188" t="s">
        <v>299</v>
      </c>
      <c r="F188" t="s">
        <v>57</v>
      </c>
      <c r="G188" t="s">
        <v>319</v>
      </c>
      <c r="H188" t="s">
        <v>302</v>
      </c>
      <c r="I188" t="s">
        <v>303</v>
      </c>
      <c r="J188" t="s">
        <v>304</v>
      </c>
      <c r="K188" t="s">
        <v>340</v>
      </c>
      <c r="L188">
        <f>LEN(Tabela13[[#This Row],[Largura de copa (metros)]])</f>
        <v>4</v>
      </c>
      <c r="M188" t="str">
        <f>LEFT(Tabela13[[#This Row],[Largura de copa (metros)]],LEN(Tabela13[[#This Row],[Largura de copa (metros)]])-1)</f>
        <v>2-3</v>
      </c>
      <c r="N188" s="126" t="s">
        <v>973</v>
      </c>
      <c r="O188" s="126" t="str">
        <f>"="&amp;Tabela13[[#This Row],[Coluna1]]</f>
        <v>=2-3</v>
      </c>
      <c r="P188" s="126">
        <f>2+3</f>
        <v>5</v>
      </c>
      <c r="Q188" s="126">
        <f>Tabela13[[#This Row],[Coluna 23]]/2</f>
        <v>2.5</v>
      </c>
      <c r="R188" s="121" t="s">
        <v>305</v>
      </c>
      <c r="S188" s="121" t="s">
        <v>336</v>
      </c>
      <c r="T188" t="s">
        <v>342</v>
      </c>
      <c r="U188" t="s">
        <v>378</v>
      </c>
      <c r="V188" t="s">
        <v>293</v>
      </c>
      <c r="W188" t="s">
        <v>294</v>
      </c>
      <c r="X188" t="s">
        <v>390</v>
      </c>
      <c r="Y188" t="s">
        <v>294</v>
      </c>
      <c r="Z188" t="s">
        <v>310</v>
      </c>
      <c r="AA188" t="s">
        <v>324</v>
      </c>
      <c r="AB188" t="s">
        <v>298</v>
      </c>
      <c r="AC188" t="s">
        <v>299</v>
      </c>
    </row>
    <row r="189" spans="1:29" s="121" customFormat="1">
      <c r="A189" s="120" t="s">
        <v>906</v>
      </c>
      <c r="B189" s="121" t="s">
        <v>907</v>
      </c>
      <c r="C189" s="120" t="s">
        <v>902</v>
      </c>
      <c r="D189" s="121" t="s">
        <v>903</v>
      </c>
      <c r="E189" s="121" t="s">
        <v>283</v>
      </c>
      <c r="F189" s="121" t="s">
        <v>57</v>
      </c>
      <c r="G189" s="121" t="s">
        <v>319</v>
      </c>
      <c r="H189" t="s">
        <v>299</v>
      </c>
      <c r="I189" s="121" t="s">
        <v>303</v>
      </c>
      <c r="J189" s="121" t="s">
        <v>882</v>
      </c>
      <c r="K189" s="121" t="s">
        <v>336</v>
      </c>
      <c r="L189" s="121">
        <f>LEN(Tabela13[[#This Row],[Largura de copa (metros)]])</f>
        <v>4</v>
      </c>
      <c r="M189" s="121" t="str">
        <f>LEFT(Tabela13[[#This Row],[Largura de copa (metros)]],LEN(Tabela13[[#This Row],[Largura de copa (metros)]])-1)</f>
        <v>2-4</v>
      </c>
      <c r="N189" s="127" t="s">
        <v>972</v>
      </c>
      <c r="O189" s="127" t="str">
        <f>"="&amp;Tabela13[[#This Row],[Coluna1]]</f>
        <v>=2-4</v>
      </c>
      <c r="P189" s="127">
        <f>2+4</f>
        <v>6</v>
      </c>
      <c r="Q189" s="127">
        <f>Tabela13[[#This Row],[Coluna 23]]/2</f>
        <v>3</v>
      </c>
      <c r="R189" s="121" t="s">
        <v>305</v>
      </c>
      <c r="S189" s="121" t="s">
        <v>336</v>
      </c>
      <c r="T189" s="121" t="s">
        <v>342</v>
      </c>
      <c r="U189" t="s">
        <v>378</v>
      </c>
      <c r="V189" s="121" t="s">
        <v>293</v>
      </c>
      <c r="W189" t="s">
        <v>299</v>
      </c>
      <c r="X189" s="121" t="s">
        <v>390</v>
      </c>
      <c r="Y189" s="121" t="s">
        <v>325</v>
      </c>
      <c r="Z189" s="121" t="s">
        <v>310</v>
      </c>
      <c r="AA189" s="121" t="s">
        <v>324</v>
      </c>
      <c r="AB189" s="121" t="s">
        <v>299</v>
      </c>
      <c r="AC189" s="121" t="s">
        <v>299</v>
      </c>
    </row>
    <row r="190" spans="1:29">
      <c r="A190" s="117" t="s">
        <v>908</v>
      </c>
      <c r="B190" t="s">
        <v>909</v>
      </c>
      <c r="C190" s="117" t="s">
        <v>910</v>
      </c>
      <c r="D190" t="s">
        <v>911</v>
      </c>
      <c r="E190" t="s">
        <v>353</v>
      </c>
      <c r="F190" t="s">
        <v>57</v>
      </c>
      <c r="G190" t="s">
        <v>284</v>
      </c>
      <c r="H190" t="s">
        <v>468</v>
      </c>
      <c r="I190" t="s">
        <v>285</v>
      </c>
      <c r="J190" t="s">
        <v>383</v>
      </c>
      <c r="K190" t="s">
        <v>346</v>
      </c>
      <c r="L190">
        <f>LEN(Tabela13[[#This Row],[Largura de copa (metros)]])</f>
        <v>5</v>
      </c>
      <c r="M190" t="str">
        <f>LEFT(Tabela13[[#This Row],[Largura de copa (metros)]],LEN(Tabela13[[#This Row],[Largura de copa (metros)]])-1)</f>
        <v>8-10</v>
      </c>
      <c r="N190" s="126" t="s">
        <v>974</v>
      </c>
      <c r="O190" s="126" t="str">
        <f>"="&amp;Tabela13[[#This Row],[Coluna1]]</f>
        <v>=8-10</v>
      </c>
      <c r="P190" s="126">
        <f>8+10</f>
        <v>18</v>
      </c>
      <c r="Q190" s="126">
        <f>Tabela13[[#This Row],[Coluna 23]]/2</f>
        <v>9</v>
      </c>
      <c r="R190" t="s">
        <v>349</v>
      </c>
      <c r="S190" t="s">
        <v>288</v>
      </c>
      <c r="T190" t="s">
        <v>291</v>
      </c>
      <c r="U190" s="121" t="s">
        <v>292</v>
      </c>
      <c r="V190" t="s">
        <v>363</v>
      </c>
      <c r="W190" t="s">
        <v>294</v>
      </c>
      <c r="X190" t="s">
        <v>309</v>
      </c>
      <c r="Y190" t="s">
        <v>294</v>
      </c>
      <c r="Z190" t="s">
        <v>296</v>
      </c>
      <c r="AA190" t="s">
        <v>324</v>
      </c>
      <c r="AB190" t="s">
        <v>298</v>
      </c>
      <c r="AC190" t="s">
        <v>912</v>
      </c>
    </row>
    <row r="191" spans="1:29">
      <c r="A191" s="117" t="s">
        <v>913</v>
      </c>
      <c r="B191" t="s">
        <v>914</v>
      </c>
      <c r="C191" s="117" t="s">
        <v>915</v>
      </c>
      <c r="D191" t="s">
        <v>492</v>
      </c>
      <c r="E191" t="s">
        <v>283</v>
      </c>
      <c r="F191" t="s">
        <v>57</v>
      </c>
      <c r="G191" t="s">
        <v>284</v>
      </c>
      <c r="H191" t="s">
        <v>285</v>
      </c>
      <c r="I191" t="s">
        <v>286</v>
      </c>
      <c r="J191" t="s">
        <v>287</v>
      </c>
      <c r="K191" t="s">
        <v>306</v>
      </c>
      <c r="L191">
        <f>LEN(Tabela13[[#This Row],[Largura de copa (metros)]])</f>
        <v>4</v>
      </c>
      <c r="M191" t="str">
        <f>LEFT(Tabela13[[#This Row],[Largura de copa (metros)]],LEN(Tabela13[[#This Row],[Largura de copa (metros)]])-1)</f>
        <v>3-5</v>
      </c>
      <c r="N191" s="126" t="s">
        <v>1000</v>
      </c>
      <c r="O191" s="126" t="str">
        <f>"="&amp;Tabela13[[#This Row],[Coluna1]]</f>
        <v>=3-5</v>
      </c>
      <c r="P191" s="126">
        <f>3+5</f>
        <v>8</v>
      </c>
      <c r="Q191" s="126">
        <f>Tabela13[[#This Row],[Coluna 23]]/2</f>
        <v>4</v>
      </c>
      <c r="R191" t="s">
        <v>321</v>
      </c>
      <c r="S191" t="s">
        <v>336</v>
      </c>
      <c r="T191" t="s">
        <v>342</v>
      </c>
      <c r="U191" t="s">
        <v>322</v>
      </c>
      <c r="V191" t="s">
        <v>293</v>
      </c>
      <c r="W191" t="s">
        <v>294</v>
      </c>
      <c r="X191" t="s">
        <v>295</v>
      </c>
      <c r="Y191" t="s">
        <v>294</v>
      </c>
      <c r="Z191" t="s">
        <v>296</v>
      </c>
      <c r="AA191" t="s">
        <v>324</v>
      </c>
      <c r="AB191" t="s">
        <v>298</v>
      </c>
      <c r="AC191" t="s">
        <v>299</v>
      </c>
    </row>
    <row r="192" spans="1:29">
      <c r="A192" s="117" t="s">
        <v>916</v>
      </c>
      <c r="B192" t="s">
        <v>917</v>
      </c>
      <c r="C192" s="117" t="s">
        <v>918</v>
      </c>
      <c r="D192" t="s">
        <v>492</v>
      </c>
      <c r="E192" t="s">
        <v>283</v>
      </c>
      <c r="F192" t="s">
        <v>57</v>
      </c>
      <c r="G192" t="s">
        <v>284</v>
      </c>
      <c r="H192" t="s">
        <v>468</v>
      </c>
      <c r="I192" t="s">
        <v>285</v>
      </c>
      <c r="J192" t="s">
        <v>287</v>
      </c>
      <c r="K192" t="s">
        <v>336</v>
      </c>
      <c r="L192">
        <f>LEN(Tabela13[[#This Row],[Largura de copa (metros)]])</f>
        <v>4</v>
      </c>
      <c r="M192" t="str">
        <f>LEFT(Tabela13[[#This Row],[Largura de copa (metros)]],LEN(Tabela13[[#This Row],[Largura de copa (metros)]])-1)</f>
        <v>2-4</v>
      </c>
      <c r="N192" s="126" t="s">
        <v>972</v>
      </c>
      <c r="O192" s="126" t="str">
        <f>"="&amp;Tabela13[[#This Row],[Coluna1]]</f>
        <v>=2-4</v>
      </c>
      <c r="P192" s="126">
        <f>2+4</f>
        <v>6</v>
      </c>
      <c r="Q192" s="126">
        <f>Tabela13[[#This Row],[Coluna 23]]/2</f>
        <v>3</v>
      </c>
      <c r="R192" t="s">
        <v>321</v>
      </c>
      <c r="S192" t="s">
        <v>440</v>
      </c>
      <c r="T192" t="s">
        <v>342</v>
      </c>
      <c r="U192" t="s">
        <v>322</v>
      </c>
      <c r="V192" t="s">
        <v>293</v>
      </c>
      <c r="W192" t="s">
        <v>294</v>
      </c>
      <c r="X192" t="s">
        <v>309</v>
      </c>
      <c r="Y192" t="s">
        <v>294</v>
      </c>
      <c r="Z192" t="s">
        <v>296</v>
      </c>
      <c r="AA192" t="s">
        <v>324</v>
      </c>
      <c r="AB192" t="s">
        <v>298</v>
      </c>
      <c r="AC192" t="s">
        <v>919</v>
      </c>
    </row>
    <row r="193" spans="1:29">
      <c r="A193" s="117" t="s">
        <v>920</v>
      </c>
      <c r="B193" t="s">
        <v>921</v>
      </c>
      <c r="C193" s="117" t="s">
        <v>915</v>
      </c>
      <c r="D193" t="s">
        <v>492</v>
      </c>
      <c r="E193" t="s">
        <v>283</v>
      </c>
      <c r="F193" t="s">
        <v>57</v>
      </c>
      <c r="G193" t="s">
        <v>284</v>
      </c>
      <c r="H193" t="s">
        <v>302</v>
      </c>
      <c r="I193" t="s">
        <v>286</v>
      </c>
      <c r="J193" t="s">
        <v>287</v>
      </c>
      <c r="K193" t="s">
        <v>349</v>
      </c>
      <c r="L193">
        <f>LEN(Tabela13[[#This Row],[Largura de copa (metros)]])</f>
        <v>6</v>
      </c>
      <c r="M193" t="str">
        <f>LEFT(Tabela13[[#This Row],[Largura de copa (metros)]],LEN(Tabela13[[#This Row],[Largura de copa (metros)]])-1)</f>
        <v>10-15</v>
      </c>
      <c r="N193" s="126" t="s">
        <v>975</v>
      </c>
      <c r="O193" s="126" t="str">
        <f>"="&amp;Tabela13[[#This Row],[Coluna1]]</f>
        <v>=10-15</v>
      </c>
      <c r="P193" s="126">
        <f>10+15</f>
        <v>25</v>
      </c>
      <c r="Q193" s="126">
        <f>Tabela13[[#This Row],[Coluna 23]]/2</f>
        <v>12.5</v>
      </c>
      <c r="R193" t="s">
        <v>922</v>
      </c>
      <c r="S193" t="s">
        <v>321</v>
      </c>
      <c r="T193" t="s">
        <v>362</v>
      </c>
      <c r="U193" s="121" t="s">
        <v>292</v>
      </c>
      <c r="V193" t="s">
        <v>293</v>
      </c>
      <c r="W193" t="s">
        <v>294</v>
      </c>
      <c r="X193" t="s">
        <v>295</v>
      </c>
      <c r="Y193" t="s">
        <v>294</v>
      </c>
      <c r="Z193" t="s">
        <v>296</v>
      </c>
      <c r="AA193" t="s">
        <v>324</v>
      </c>
      <c r="AB193" t="s">
        <v>298</v>
      </c>
      <c r="AC193" t="s">
        <v>299</v>
      </c>
    </row>
    <row r="194" spans="1:29">
      <c r="A194" s="117" t="s">
        <v>923</v>
      </c>
      <c r="B194" t="s">
        <v>921</v>
      </c>
      <c r="C194" s="117" t="s">
        <v>915</v>
      </c>
      <c r="D194" t="s">
        <v>492</v>
      </c>
      <c r="E194" t="s">
        <v>283</v>
      </c>
      <c r="F194" t="s">
        <v>57</v>
      </c>
      <c r="G194" t="s">
        <v>284</v>
      </c>
      <c r="H194" t="s">
        <v>302</v>
      </c>
      <c r="I194" t="s">
        <v>285</v>
      </c>
      <c r="J194" t="s">
        <v>287</v>
      </c>
      <c r="K194" t="s">
        <v>306</v>
      </c>
      <c r="L194">
        <f>LEN(Tabela13[[#This Row],[Largura de copa (metros)]])</f>
        <v>4</v>
      </c>
      <c r="M194" t="str">
        <f>LEFT(Tabela13[[#This Row],[Largura de copa (metros)]],LEN(Tabela13[[#This Row],[Largura de copa (metros)]])-1)</f>
        <v>3-5</v>
      </c>
      <c r="N194" s="126" t="s">
        <v>1000</v>
      </c>
      <c r="O194" s="126" t="str">
        <f>"="&amp;Tabela13[[#This Row],[Coluna1]]</f>
        <v>=3-5</v>
      </c>
      <c r="P194" s="126">
        <f>3+5</f>
        <v>8</v>
      </c>
      <c r="Q194" s="126">
        <f>Tabela13[[#This Row],[Coluna 23]]/2</f>
        <v>4</v>
      </c>
      <c r="R194" t="s">
        <v>328</v>
      </c>
      <c r="S194" t="s">
        <v>336</v>
      </c>
      <c r="T194" t="s">
        <v>342</v>
      </c>
      <c r="U194" t="s">
        <v>292</v>
      </c>
      <c r="V194" t="s">
        <v>293</v>
      </c>
      <c r="W194" t="s">
        <v>294</v>
      </c>
      <c r="X194" t="s">
        <v>295</v>
      </c>
      <c r="Y194" t="s">
        <v>294</v>
      </c>
      <c r="Z194" t="s">
        <v>296</v>
      </c>
      <c r="AA194" t="s">
        <v>324</v>
      </c>
      <c r="AB194" t="s">
        <v>298</v>
      </c>
      <c r="AC194" t="s">
        <v>299</v>
      </c>
    </row>
    <row r="195" spans="1:29">
      <c r="A195" s="117" t="s">
        <v>924</v>
      </c>
      <c r="B195" t="s">
        <v>925</v>
      </c>
      <c r="C195" s="117" t="s">
        <v>926</v>
      </c>
      <c r="D195" t="s">
        <v>492</v>
      </c>
      <c r="E195" t="s">
        <v>283</v>
      </c>
      <c r="F195" t="s">
        <v>57</v>
      </c>
      <c r="G195" t="s">
        <v>284</v>
      </c>
      <c r="H195" t="s">
        <v>468</v>
      </c>
      <c r="I195" t="s">
        <v>286</v>
      </c>
      <c r="J195" t="s">
        <v>287</v>
      </c>
      <c r="K195" t="s">
        <v>626</v>
      </c>
      <c r="L195">
        <f>LEN(Tabela13[[#This Row],[Largura de copa (metros)]])</f>
        <v>5</v>
      </c>
      <c r="M195" t="str">
        <f>LEFT(Tabela13[[#This Row],[Largura de copa (metros)]],LEN(Tabela13[[#This Row],[Largura de copa (metros)]])-1)</f>
        <v>6-12</v>
      </c>
      <c r="N195" s="126" t="s">
        <v>1005</v>
      </c>
      <c r="O195" s="126" t="str">
        <f>"="&amp;Tabela13[[#This Row],[Coluna1]]</f>
        <v>=6-12</v>
      </c>
      <c r="P195" s="126">
        <f>6+12</f>
        <v>18</v>
      </c>
      <c r="Q195" s="126">
        <f>Tabela13[[#This Row],[Coluna 23]]/2</f>
        <v>9</v>
      </c>
      <c r="R195" t="s">
        <v>449</v>
      </c>
      <c r="S195" t="s">
        <v>495</v>
      </c>
      <c r="T195" t="s">
        <v>291</v>
      </c>
      <c r="U195" s="121" t="s">
        <v>292</v>
      </c>
      <c r="V195" t="s">
        <v>293</v>
      </c>
      <c r="W195" t="s">
        <v>294</v>
      </c>
      <c r="X195" t="s">
        <v>295</v>
      </c>
      <c r="Y195" t="s">
        <v>294</v>
      </c>
      <c r="Z195" t="s">
        <v>296</v>
      </c>
      <c r="AA195" t="s">
        <v>324</v>
      </c>
      <c r="AB195" t="s">
        <v>298</v>
      </c>
      <c r="AC195" t="s">
        <v>299</v>
      </c>
    </row>
    <row r="196" spans="1:29">
      <c r="A196" s="117" t="s">
        <v>927</v>
      </c>
      <c r="B196" t="s">
        <v>928</v>
      </c>
      <c r="C196" s="117" t="s">
        <v>929</v>
      </c>
      <c r="D196" t="s">
        <v>423</v>
      </c>
      <c r="E196" t="s">
        <v>283</v>
      </c>
      <c r="F196" t="s">
        <v>57</v>
      </c>
      <c r="G196" t="s">
        <v>319</v>
      </c>
      <c r="H196" t="s">
        <v>285</v>
      </c>
      <c r="I196" t="s">
        <v>286</v>
      </c>
      <c r="J196" t="s">
        <v>304</v>
      </c>
      <c r="K196" t="s">
        <v>349</v>
      </c>
      <c r="L196">
        <f>LEN(Tabela13[[#This Row],[Largura de copa (metros)]])</f>
        <v>6</v>
      </c>
      <c r="M196" t="str">
        <f>LEFT(Tabela13[[#This Row],[Largura de copa (metros)]],LEN(Tabela13[[#This Row],[Largura de copa (metros)]])-1)</f>
        <v>10-15</v>
      </c>
      <c r="N196" s="126" t="s">
        <v>975</v>
      </c>
      <c r="O196" s="126" t="str">
        <f>"="&amp;Tabela13[[#This Row],[Coluna1]]</f>
        <v>=10-15</v>
      </c>
      <c r="P196" s="126">
        <f>10+15</f>
        <v>25</v>
      </c>
      <c r="Q196" s="126">
        <f>Tabela13[[#This Row],[Coluna 23]]/2</f>
        <v>12.5</v>
      </c>
      <c r="R196" t="s">
        <v>347</v>
      </c>
      <c r="S196" t="s">
        <v>321</v>
      </c>
      <c r="T196" t="s">
        <v>362</v>
      </c>
      <c r="U196" t="s">
        <v>292</v>
      </c>
      <c r="V196" t="s">
        <v>293</v>
      </c>
      <c r="W196" t="s">
        <v>294</v>
      </c>
      <c r="X196" t="s">
        <v>309</v>
      </c>
      <c r="Y196" t="s">
        <v>294</v>
      </c>
      <c r="Z196" t="s">
        <v>323</v>
      </c>
      <c r="AA196" t="s">
        <v>324</v>
      </c>
      <c r="AB196" t="s">
        <v>294</v>
      </c>
      <c r="AC196" t="s">
        <v>299</v>
      </c>
    </row>
    <row r="197" spans="1:29">
      <c r="A197" s="117" t="s">
        <v>930</v>
      </c>
      <c r="B197" t="s">
        <v>931</v>
      </c>
      <c r="C197" s="117" t="s">
        <v>929</v>
      </c>
      <c r="D197" t="s">
        <v>423</v>
      </c>
      <c r="E197" t="s">
        <v>283</v>
      </c>
      <c r="F197" t="s">
        <v>57</v>
      </c>
      <c r="G197" t="s">
        <v>319</v>
      </c>
      <c r="H197" t="s">
        <v>285</v>
      </c>
      <c r="I197" t="s">
        <v>286</v>
      </c>
      <c r="J197" t="s">
        <v>304</v>
      </c>
      <c r="K197" t="s">
        <v>449</v>
      </c>
      <c r="L197">
        <f>LEN(Tabela13[[#This Row],[Largura de copa (metros)]])</f>
        <v>6</v>
      </c>
      <c r="M197" t="str">
        <f>LEFT(Tabela13[[#This Row],[Largura de copa (metros)]],LEN(Tabela13[[#This Row],[Largura de copa (metros)]])-1)</f>
        <v>10-20</v>
      </c>
      <c r="N197" s="126" t="s">
        <v>1016</v>
      </c>
      <c r="O197" s="126" t="str">
        <f>"="&amp;Tabela13[[#This Row],[Coluna1]]</f>
        <v>=10-20</v>
      </c>
      <c r="P197" s="126">
        <f>10+20</f>
        <v>30</v>
      </c>
      <c r="Q197" s="126">
        <f>Tabela13[[#This Row],[Coluna 23]]/2</f>
        <v>15</v>
      </c>
      <c r="R197" t="s">
        <v>371</v>
      </c>
      <c r="S197" t="s">
        <v>932</v>
      </c>
      <c r="T197" t="s">
        <v>362</v>
      </c>
      <c r="U197" t="s">
        <v>292</v>
      </c>
      <c r="V197" t="s">
        <v>293</v>
      </c>
      <c r="W197" t="s">
        <v>294</v>
      </c>
      <c r="X197" t="s">
        <v>295</v>
      </c>
      <c r="Y197" t="s">
        <v>294</v>
      </c>
      <c r="Z197" t="s">
        <v>323</v>
      </c>
      <c r="AA197" t="s">
        <v>324</v>
      </c>
      <c r="AB197" t="s">
        <v>298</v>
      </c>
      <c r="AC197" t="s">
        <v>299</v>
      </c>
    </row>
    <row r="198" spans="1:29">
      <c r="A198" s="117" t="s">
        <v>933</v>
      </c>
      <c r="B198" t="s">
        <v>934</v>
      </c>
      <c r="C198" s="117" t="s">
        <v>929</v>
      </c>
      <c r="D198" t="s">
        <v>423</v>
      </c>
      <c r="E198" t="s">
        <v>283</v>
      </c>
      <c r="F198" t="s">
        <v>57</v>
      </c>
      <c r="G198" t="s">
        <v>319</v>
      </c>
      <c r="H198" t="s">
        <v>285</v>
      </c>
      <c r="I198" t="s">
        <v>286</v>
      </c>
      <c r="J198" t="s">
        <v>304</v>
      </c>
      <c r="K198" t="s">
        <v>349</v>
      </c>
      <c r="L198">
        <f>LEN(Tabela13[[#This Row],[Largura de copa (metros)]])</f>
        <v>6</v>
      </c>
      <c r="M198" t="str">
        <f>LEFT(Tabela13[[#This Row],[Largura de copa (metros)]],LEN(Tabela13[[#This Row],[Largura de copa (metros)]])-1)</f>
        <v>10-15</v>
      </c>
      <c r="N198" s="126" t="s">
        <v>975</v>
      </c>
      <c r="O198" s="126" t="str">
        <f>"="&amp;Tabela13[[#This Row],[Coluna1]]</f>
        <v>=10-15</v>
      </c>
      <c r="P198" s="126">
        <f>10+15</f>
        <v>25</v>
      </c>
      <c r="Q198" s="126">
        <f>Tabela13[[#This Row],[Coluna 23]]/2</f>
        <v>12.5</v>
      </c>
      <c r="R198" t="s">
        <v>360</v>
      </c>
      <c r="S198" t="s">
        <v>321</v>
      </c>
      <c r="T198" t="s">
        <v>362</v>
      </c>
      <c r="U198" t="s">
        <v>292</v>
      </c>
      <c r="V198" t="s">
        <v>293</v>
      </c>
      <c r="W198" t="s">
        <v>294</v>
      </c>
      <c r="X198" t="s">
        <v>309</v>
      </c>
      <c r="Y198" t="s">
        <v>294</v>
      </c>
      <c r="Z198" t="s">
        <v>323</v>
      </c>
      <c r="AA198" t="s">
        <v>324</v>
      </c>
      <c r="AB198" t="s">
        <v>294</v>
      </c>
      <c r="AC198" t="s">
        <v>299</v>
      </c>
    </row>
    <row r="199" spans="1:29" s="122" customFormat="1">
      <c r="A199" s="117" t="s">
        <v>935</v>
      </c>
      <c r="B199" t="s">
        <v>936</v>
      </c>
      <c r="C199" s="117" t="s">
        <v>929</v>
      </c>
      <c r="D199" t="s">
        <v>423</v>
      </c>
      <c r="E199" t="s">
        <v>283</v>
      </c>
      <c r="F199" t="s">
        <v>57</v>
      </c>
      <c r="G199" t="s">
        <v>319</v>
      </c>
      <c r="H199" t="s">
        <v>285</v>
      </c>
      <c r="I199" t="s">
        <v>286</v>
      </c>
      <c r="J199" t="s">
        <v>304</v>
      </c>
      <c r="K199" t="s">
        <v>449</v>
      </c>
      <c r="L199">
        <f>LEN(Tabela13[[#This Row],[Largura de copa (metros)]])</f>
        <v>6</v>
      </c>
      <c r="M199" t="str">
        <f>LEFT(Tabela13[[#This Row],[Largura de copa (metros)]],LEN(Tabela13[[#This Row],[Largura de copa (metros)]])-1)</f>
        <v>10-20</v>
      </c>
      <c r="N199" s="126" t="s">
        <v>1016</v>
      </c>
      <c r="O199" s="126" t="str">
        <f>"="&amp;Tabela13[[#This Row],[Coluna1]]</f>
        <v>=10-20</v>
      </c>
      <c r="P199" s="126">
        <f>10+20</f>
        <v>30</v>
      </c>
      <c r="Q199" s="126">
        <f>Tabela13[[#This Row],[Coluna 23]]/2</f>
        <v>15</v>
      </c>
      <c r="R199" t="s">
        <v>360</v>
      </c>
      <c r="S199" t="s">
        <v>932</v>
      </c>
      <c r="T199" t="s">
        <v>362</v>
      </c>
      <c r="U199" t="s">
        <v>292</v>
      </c>
      <c r="V199" t="s">
        <v>293</v>
      </c>
      <c r="W199" t="s">
        <v>294</v>
      </c>
      <c r="X199" t="s">
        <v>309</v>
      </c>
      <c r="Y199" t="s">
        <v>294</v>
      </c>
      <c r="Z199" t="s">
        <v>323</v>
      </c>
      <c r="AA199" t="s">
        <v>324</v>
      </c>
      <c r="AB199" t="s">
        <v>325</v>
      </c>
      <c r="AC199" t="s">
        <v>299</v>
      </c>
    </row>
    <row r="200" spans="1:29">
      <c r="A200" s="117" t="s">
        <v>937</v>
      </c>
      <c r="B200" t="s">
        <v>938</v>
      </c>
      <c r="C200" s="117" t="s">
        <v>939</v>
      </c>
      <c r="D200" t="s">
        <v>757</v>
      </c>
      <c r="E200" t="s">
        <v>283</v>
      </c>
      <c r="F200" t="s">
        <v>57</v>
      </c>
      <c r="G200" t="s">
        <v>284</v>
      </c>
      <c r="H200" t="s">
        <v>299</v>
      </c>
      <c r="I200" t="s">
        <v>303</v>
      </c>
      <c r="J200" t="s">
        <v>940</v>
      </c>
      <c r="K200" t="s">
        <v>336</v>
      </c>
      <c r="L200">
        <f>LEN(Tabela13[[#This Row],[Largura de copa (metros)]])</f>
        <v>4</v>
      </c>
      <c r="M200" t="str">
        <f>LEFT(Tabela13[[#This Row],[Largura de copa (metros)]],LEN(Tabela13[[#This Row],[Largura de copa (metros)]])-1)</f>
        <v>2-4</v>
      </c>
      <c r="N200" s="126" t="s">
        <v>972</v>
      </c>
      <c r="O200" s="126" t="str">
        <f>"="&amp;Tabela13[[#This Row],[Coluna1]]</f>
        <v>=2-4</v>
      </c>
      <c r="P200" s="126">
        <f>2+4</f>
        <v>6</v>
      </c>
      <c r="Q200" s="126">
        <f>Tabela13[[#This Row],[Coluna 23]]/2</f>
        <v>3</v>
      </c>
      <c r="R200" t="s">
        <v>577</v>
      </c>
      <c r="S200" t="s">
        <v>336</v>
      </c>
      <c r="T200" t="s">
        <v>342</v>
      </c>
      <c r="U200" t="s">
        <v>307</v>
      </c>
      <c r="V200" t="s">
        <v>308</v>
      </c>
      <c r="W200" t="s">
        <v>298</v>
      </c>
      <c r="X200" t="s">
        <v>309</v>
      </c>
      <c r="Y200" t="s">
        <v>298</v>
      </c>
      <c r="Z200" t="s">
        <v>700</v>
      </c>
      <c r="AA200" t="s">
        <v>311</v>
      </c>
      <c r="AB200" t="s">
        <v>299</v>
      </c>
      <c r="AC200" t="s">
        <v>299</v>
      </c>
    </row>
    <row r="201" spans="1:29">
      <c r="A201" s="117" t="s">
        <v>941</v>
      </c>
      <c r="B201" t="s">
        <v>942</v>
      </c>
      <c r="C201" s="117" t="s">
        <v>943</v>
      </c>
      <c r="D201" t="s">
        <v>757</v>
      </c>
      <c r="E201" t="s">
        <v>283</v>
      </c>
      <c r="F201" t="s">
        <v>57</v>
      </c>
      <c r="G201" t="s">
        <v>284</v>
      </c>
      <c r="H201" t="s">
        <v>299</v>
      </c>
      <c r="I201" t="s">
        <v>285</v>
      </c>
      <c r="J201" t="s">
        <v>320</v>
      </c>
      <c r="K201" t="s">
        <v>340</v>
      </c>
      <c r="L201">
        <f>LEN(Tabela13[[#This Row],[Largura de copa (metros)]])</f>
        <v>4</v>
      </c>
      <c r="M201" t="str">
        <f>LEFT(Tabela13[[#This Row],[Largura de copa (metros)]],LEN(Tabela13[[#This Row],[Largura de copa (metros)]])-1)</f>
        <v>2-3</v>
      </c>
      <c r="N201" s="126" t="s">
        <v>973</v>
      </c>
      <c r="O201" s="126" t="str">
        <f>"="&amp;Tabela13[[#This Row],[Coluna1]]</f>
        <v>=2-3</v>
      </c>
      <c r="P201" s="126">
        <f>2+3</f>
        <v>5</v>
      </c>
      <c r="Q201" s="126">
        <f>Tabela13[[#This Row],[Coluna 23]]/2</f>
        <v>2.5</v>
      </c>
      <c r="R201" t="s">
        <v>808</v>
      </c>
      <c r="S201" t="s">
        <v>340</v>
      </c>
      <c r="T201" t="s">
        <v>342</v>
      </c>
      <c r="U201" t="s">
        <v>378</v>
      </c>
      <c r="V201" t="s">
        <v>308</v>
      </c>
      <c r="W201" t="s">
        <v>294</v>
      </c>
      <c r="X201" t="s">
        <v>309</v>
      </c>
      <c r="Y201" t="s">
        <v>298</v>
      </c>
      <c r="Z201" t="s">
        <v>323</v>
      </c>
      <c r="AA201" t="s">
        <v>311</v>
      </c>
      <c r="AB201" t="s">
        <v>299</v>
      </c>
      <c r="AC201" t="s">
        <v>299</v>
      </c>
    </row>
    <row r="202" spans="1:29">
      <c r="A202" s="117" t="s">
        <v>946</v>
      </c>
      <c r="B202" t="s">
        <v>947</v>
      </c>
      <c r="C202" s="117" t="s">
        <v>944</v>
      </c>
      <c r="D202" t="s">
        <v>945</v>
      </c>
      <c r="E202" t="s">
        <v>353</v>
      </c>
      <c r="F202" t="s">
        <v>57</v>
      </c>
      <c r="G202" t="s">
        <v>319</v>
      </c>
      <c r="H202" t="s">
        <v>285</v>
      </c>
      <c r="I202" t="s">
        <v>286</v>
      </c>
      <c r="J202" t="s">
        <v>304</v>
      </c>
      <c r="K202" t="s">
        <v>346</v>
      </c>
      <c r="L202">
        <f>LEN(Tabela13[[#This Row],[Largura de copa (metros)]])</f>
        <v>5</v>
      </c>
      <c r="M202" t="str">
        <f>LEFT(Tabela13[[#This Row],[Largura de copa (metros)]],LEN(Tabela13[[#This Row],[Largura de copa (metros)]])-1)</f>
        <v>8-10</v>
      </c>
      <c r="N202" s="126" t="s">
        <v>974</v>
      </c>
      <c r="O202" s="126" t="str">
        <f>"="&amp;Tabela13[[#This Row],[Coluna1]]</f>
        <v>=8-10</v>
      </c>
      <c r="P202" s="126">
        <f>8+10</f>
        <v>18</v>
      </c>
      <c r="Q202" s="126">
        <f>Tabela13[[#This Row],[Coluna 23]]/2</f>
        <v>9</v>
      </c>
      <c r="R202" t="s">
        <v>554</v>
      </c>
      <c r="S202" t="s">
        <v>288</v>
      </c>
      <c r="T202" t="s">
        <v>291</v>
      </c>
      <c r="U202" t="s">
        <v>292</v>
      </c>
      <c r="V202" t="s">
        <v>363</v>
      </c>
      <c r="W202" t="s">
        <v>294</v>
      </c>
      <c r="X202" t="s">
        <v>295</v>
      </c>
      <c r="Y202" t="s">
        <v>294</v>
      </c>
      <c r="Z202" t="s">
        <v>323</v>
      </c>
      <c r="AA202" t="s">
        <v>324</v>
      </c>
      <c r="AB202" t="s">
        <v>298</v>
      </c>
      <c r="AC202" t="s">
        <v>299</v>
      </c>
    </row>
    <row r="203" spans="1:29">
      <c r="A203" s="117" t="s">
        <v>948</v>
      </c>
      <c r="B203" t="s">
        <v>949</v>
      </c>
      <c r="C203" s="117" t="s">
        <v>944</v>
      </c>
      <c r="D203" t="s">
        <v>945</v>
      </c>
      <c r="E203" t="s">
        <v>283</v>
      </c>
      <c r="F203" t="s">
        <v>57</v>
      </c>
      <c r="G203" t="s">
        <v>319</v>
      </c>
      <c r="H203" t="s">
        <v>285</v>
      </c>
      <c r="I203" t="s">
        <v>286</v>
      </c>
      <c r="J203" t="s">
        <v>304</v>
      </c>
      <c r="K203" t="s">
        <v>346</v>
      </c>
      <c r="L203">
        <f>LEN(Tabela13[[#This Row],[Largura de copa (metros)]])</f>
        <v>5</v>
      </c>
      <c r="M203" t="str">
        <f>LEFT(Tabela13[[#This Row],[Largura de copa (metros)]],LEN(Tabela13[[#This Row],[Largura de copa (metros)]])-1)</f>
        <v>8-10</v>
      </c>
      <c r="N203" s="126" t="s">
        <v>974</v>
      </c>
      <c r="O203" s="126" t="str">
        <f>"="&amp;Tabela13[[#This Row],[Coluna1]]</f>
        <v>=8-10</v>
      </c>
      <c r="P203" s="126">
        <f>8+10</f>
        <v>18</v>
      </c>
      <c r="Q203" s="126">
        <f>Tabela13[[#This Row],[Coluna 23]]/2</f>
        <v>9</v>
      </c>
      <c r="R203" t="s">
        <v>554</v>
      </c>
      <c r="S203" t="s">
        <v>288</v>
      </c>
      <c r="T203" t="s">
        <v>291</v>
      </c>
      <c r="U203" t="s">
        <v>292</v>
      </c>
      <c r="V203" t="s">
        <v>363</v>
      </c>
      <c r="W203" t="s">
        <v>294</v>
      </c>
      <c r="X203" t="s">
        <v>295</v>
      </c>
      <c r="Y203" t="s">
        <v>294</v>
      </c>
      <c r="Z203" t="s">
        <v>323</v>
      </c>
      <c r="AA203" t="s">
        <v>324</v>
      </c>
      <c r="AB203" t="s">
        <v>294</v>
      </c>
      <c r="AC203" t="s">
        <v>299</v>
      </c>
    </row>
    <row r="204" spans="1:29">
      <c r="A204" s="117" t="s">
        <v>950</v>
      </c>
      <c r="B204" t="s">
        <v>951</v>
      </c>
      <c r="C204" s="117" t="s">
        <v>944</v>
      </c>
      <c r="D204" t="s">
        <v>945</v>
      </c>
      <c r="E204" t="s">
        <v>283</v>
      </c>
      <c r="F204" t="s">
        <v>57</v>
      </c>
      <c r="G204" t="s">
        <v>319</v>
      </c>
      <c r="H204" t="s">
        <v>302</v>
      </c>
      <c r="I204" t="s">
        <v>286</v>
      </c>
      <c r="J204" t="s">
        <v>304</v>
      </c>
      <c r="K204" t="s">
        <v>288</v>
      </c>
      <c r="L204">
        <f>LEN(Tabela13[[#This Row],[Largura de copa (metros)]])</f>
        <v>4</v>
      </c>
      <c r="M204" t="str">
        <f>LEFT(Tabela13[[#This Row],[Largura de copa (metros)]],LEN(Tabela13[[#This Row],[Largura de copa (metros)]])-1)</f>
        <v>6-8</v>
      </c>
      <c r="N204" s="126" t="s">
        <v>968</v>
      </c>
      <c r="O204" s="126" t="str">
        <f>"="&amp;Tabela13[[#This Row],[Coluna1]]</f>
        <v>=6-8</v>
      </c>
      <c r="P204" s="126">
        <f>6+8</f>
        <v>14</v>
      </c>
      <c r="Q204" s="126">
        <f>Tabela13[[#This Row],[Coluna 23]]/2</f>
        <v>7</v>
      </c>
      <c r="R204" t="s">
        <v>360</v>
      </c>
      <c r="S204" t="s">
        <v>290</v>
      </c>
      <c r="T204" t="s">
        <v>291</v>
      </c>
      <c r="U204" t="s">
        <v>292</v>
      </c>
      <c r="V204" t="s">
        <v>363</v>
      </c>
      <c r="W204" t="s">
        <v>294</v>
      </c>
      <c r="X204" t="s">
        <v>295</v>
      </c>
      <c r="Y204" t="s">
        <v>294</v>
      </c>
      <c r="Z204" t="s">
        <v>323</v>
      </c>
      <c r="AA204" t="s">
        <v>311</v>
      </c>
      <c r="AB204" t="s">
        <v>298</v>
      </c>
      <c r="AC204" t="s">
        <v>299</v>
      </c>
    </row>
    <row r="205" spans="1:29">
      <c r="A205" s="117" t="s">
        <v>952</v>
      </c>
      <c r="B205" t="s">
        <v>953</v>
      </c>
      <c r="C205" s="117" t="s">
        <v>944</v>
      </c>
      <c r="D205" t="s">
        <v>945</v>
      </c>
      <c r="E205" t="s">
        <v>283</v>
      </c>
      <c r="F205" t="s">
        <v>57</v>
      </c>
      <c r="G205" t="s">
        <v>319</v>
      </c>
      <c r="H205" t="s">
        <v>285</v>
      </c>
      <c r="I205" t="s">
        <v>286</v>
      </c>
      <c r="J205" t="s">
        <v>413</v>
      </c>
      <c r="K205" t="s">
        <v>346</v>
      </c>
      <c r="L205">
        <f>LEN(Tabela13[[#This Row],[Largura de copa (metros)]])</f>
        <v>5</v>
      </c>
      <c r="M205" t="str">
        <f>LEFT(Tabela13[[#This Row],[Largura de copa (metros)]],LEN(Tabela13[[#This Row],[Largura de copa (metros)]])-1)</f>
        <v>8-10</v>
      </c>
      <c r="N205" s="126" t="s">
        <v>974</v>
      </c>
      <c r="O205" s="126" t="str">
        <f>"="&amp;Tabela13[[#This Row],[Coluna1]]</f>
        <v>=8-10</v>
      </c>
      <c r="P205" s="126">
        <f>8+10</f>
        <v>18</v>
      </c>
      <c r="Q205" s="126">
        <f>Tabela13[[#This Row],[Coluna 23]]/2</f>
        <v>9</v>
      </c>
      <c r="R205" t="s">
        <v>554</v>
      </c>
      <c r="S205" t="s">
        <v>288</v>
      </c>
      <c r="T205" t="s">
        <v>291</v>
      </c>
      <c r="U205" t="s">
        <v>292</v>
      </c>
      <c r="V205" t="s">
        <v>363</v>
      </c>
      <c r="W205" t="s">
        <v>294</v>
      </c>
      <c r="X205" t="s">
        <v>295</v>
      </c>
      <c r="Y205" t="s">
        <v>294</v>
      </c>
      <c r="Z205" t="s">
        <v>323</v>
      </c>
      <c r="AA205" t="s">
        <v>324</v>
      </c>
      <c r="AB205" t="s">
        <v>325</v>
      </c>
      <c r="AC205" t="s">
        <v>299</v>
      </c>
    </row>
    <row r="206" spans="1:29">
      <c r="A206" s="117" t="s">
        <v>956</v>
      </c>
      <c r="B206" t="s">
        <v>957</v>
      </c>
      <c r="C206" s="117" t="s">
        <v>954</v>
      </c>
      <c r="D206" t="s">
        <v>955</v>
      </c>
      <c r="E206" t="s">
        <v>353</v>
      </c>
      <c r="F206" t="s">
        <v>57</v>
      </c>
      <c r="G206" t="s">
        <v>284</v>
      </c>
      <c r="H206" t="s">
        <v>302</v>
      </c>
      <c r="I206" t="s">
        <v>303</v>
      </c>
      <c r="J206" t="s">
        <v>320</v>
      </c>
      <c r="K206" t="s">
        <v>594</v>
      </c>
      <c r="L206">
        <f>LEN(Tabela13[[#This Row],[Largura de copa (metros)]])</f>
        <v>2</v>
      </c>
      <c r="M206" t="str">
        <f>LEFT(Tabela13[[#This Row],[Largura de copa (metros)]],LEN(Tabela13[[#This Row],[Largura de copa (metros)]])-1)</f>
        <v>2</v>
      </c>
      <c r="N206" s="126" t="s">
        <v>995</v>
      </c>
      <c r="O206" s="126" t="str">
        <f>"="&amp;Tabela13[[#This Row],[Coluna1]]</f>
        <v>=2</v>
      </c>
      <c r="P206" s="126">
        <v>2</v>
      </c>
      <c r="Q206" s="126">
        <f>Tabela13[[#This Row],[Coluna 23]]/2</f>
        <v>1</v>
      </c>
      <c r="R206" t="s">
        <v>340</v>
      </c>
      <c r="S206" t="s">
        <v>594</v>
      </c>
      <c r="T206" t="s">
        <v>342</v>
      </c>
      <c r="U206" t="s">
        <v>307</v>
      </c>
      <c r="V206" t="s">
        <v>299</v>
      </c>
      <c r="W206" t="s">
        <v>299</v>
      </c>
      <c r="X206" t="s">
        <v>299</v>
      </c>
      <c r="Y206" t="s">
        <v>299</v>
      </c>
      <c r="Z206" t="s">
        <v>296</v>
      </c>
      <c r="AA206" t="s">
        <v>299</v>
      </c>
      <c r="AB206" t="s">
        <v>298</v>
      </c>
      <c r="AC206" t="s">
        <v>299</v>
      </c>
    </row>
    <row r="207" spans="1:29">
      <c r="A207" s="117" t="s">
        <v>958</v>
      </c>
      <c r="B207" t="s">
        <v>959</v>
      </c>
      <c r="C207" s="117" t="s">
        <v>960</v>
      </c>
      <c r="D207" t="s">
        <v>757</v>
      </c>
      <c r="E207" t="s">
        <v>283</v>
      </c>
      <c r="F207" t="s">
        <v>57</v>
      </c>
      <c r="G207" t="s">
        <v>284</v>
      </c>
      <c r="H207" t="s">
        <v>285</v>
      </c>
      <c r="I207" t="s">
        <v>286</v>
      </c>
      <c r="J207" t="s">
        <v>547</v>
      </c>
      <c r="K207" t="s">
        <v>372</v>
      </c>
      <c r="L207">
        <f>LEN(Tabela13[[#This Row],[Largura de copa (metros)]])</f>
        <v>5</v>
      </c>
      <c r="M207" t="str">
        <f>LEFT(Tabela13[[#This Row],[Largura de copa (metros)]],LEN(Tabela13[[#This Row],[Largura de copa (metros)]])-1)</f>
        <v>6-10</v>
      </c>
      <c r="N207" s="126" t="s">
        <v>980</v>
      </c>
      <c r="O207" s="126" t="str">
        <f>"="&amp;Tabela13[[#This Row],[Coluna1]]</f>
        <v>=6-10</v>
      </c>
      <c r="P207" s="126">
        <f>6+10</f>
        <v>16</v>
      </c>
      <c r="Q207" s="126">
        <f>Tabela13[[#This Row],[Coluna 23]]/2</f>
        <v>8</v>
      </c>
      <c r="R207" t="s">
        <v>360</v>
      </c>
      <c r="S207" t="s">
        <v>327</v>
      </c>
      <c r="T207" t="s">
        <v>291</v>
      </c>
      <c r="U207" t="s">
        <v>292</v>
      </c>
      <c r="V207" t="s">
        <v>308</v>
      </c>
      <c r="W207" t="s">
        <v>294</v>
      </c>
      <c r="X207" t="s">
        <v>390</v>
      </c>
      <c r="Y207" t="s">
        <v>294</v>
      </c>
      <c r="Z207" t="s">
        <v>323</v>
      </c>
      <c r="AA207" t="s">
        <v>311</v>
      </c>
      <c r="AB207" t="s">
        <v>298</v>
      </c>
      <c r="AC207" t="s">
        <v>314</v>
      </c>
    </row>
    <row r="208" spans="1:29">
      <c r="A208" s="117" t="s">
        <v>961</v>
      </c>
      <c r="B208" t="s">
        <v>962</v>
      </c>
      <c r="C208" s="117" t="s">
        <v>960</v>
      </c>
      <c r="D208" t="s">
        <v>757</v>
      </c>
      <c r="E208" t="s">
        <v>283</v>
      </c>
      <c r="F208" t="s">
        <v>57</v>
      </c>
      <c r="G208" t="s">
        <v>284</v>
      </c>
      <c r="H208" t="s">
        <v>285</v>
      </c>
      <c r="I208" t="s">
        <v>286</v>
      </c>
      <c r="J208" t="s">
        <v>547</v>
      </c>
      <c r="K208" t="s">
        <v>372</v>
      </c>
      <c r="L208">
        <f>LEN(Tabela13[[#This Row],[Largura de copa (metros)]])</f>
        <v>5</v>
      </c>
      <c r="M208" t="str">
        <f>LEFT(Tabela13[[#This Row],[Largura de copa (metros)]],LEN(Tabela13[[#This Row],[Largura de copa (metros)]])-1)</f>
        <v>6-10</v>
      </c>
      <c r="N208" s="126" t="s">
        <v>980</v>
      </c>
      <c r="O208" s="126" t="str">
        <f>"="&amp;Tabela13[[#This Row],[Coluna1]]</f>
        <v>=6-10</v>
      </c>
      <c r="P208" s="126">
        <f>6+10</f>
        <v>16</v>
      </c>
      <c r="Q208" s="126">
        <f>Tabela13[[#This Row],[Coluna 23]]/2</f>
        <v>8</v>
      </c>
      <c r="R208" t="s">
        <v>471</v>
      </c>
      <c r="S208" t="s">
        <v>327</v>
      </c>
      <c r="T208" t="s">
        <v>291</v>
      </c>
      <c r="U208" t="s">
        <v>292</v>
      </c>
      <c r="V208" t="s">
        <v>308</v>
      </c>
      <c r="W208" t="s">
        <v>294</v>
      </c>
      <c r="X208" t="s">
        <v>390</v>
      </c>
      <c r="Y208" t="s">
        <v>294</v>
      </c>
      <c r="Z208" t="s">
        <v>323</v>
      </c>
      <c r="AA208" t="s">
        <v>311</v>
      </c>
      <c r="AB208" t="s">
        <v>299</v>
      </c>
      <c r="AC208" t="s">
        <v>314</v>
      </c>
    </row>
    <row r="209" spans="1:29">
      <c r="A209" s="117" t="s">
        <v>963</v>
      </c>
      <c r="B209" t="s">
        <v>964</v>
      </c>
      <c r="C209" s="117" t="s">
        <v>964</v>
      </c>
      <c r="D209" t="s">
        <v>945</v>
      </c>
      <c r="E209" t="s">
        <v>283</v>
      </c>
      <c r="F209" t="s">
        <v>57</v>
      </c>
      <c r="G209" t="s">
        <v>319</v>
      </c>
      <c r="H209" t="s">
        <v>468</v>
      </c>
      <c r="I209" t="s">
        <v>286</v>
      </c>
      <c r="J209" t="s">
        <v>304</v>
      </c>
      <c r="K209" t="s">
        <v>449</v>
      </c>
      <c r="L209">
        <f>LEN(Tabela13[[#This Row],[Largura de copa (metros)]])</f>
        <v>6</v>
      </c>
      <c r="M209" t="str">
        <f>LEFT(Tabela13[[#This Row],[Largura de copa (metros)]],LEN(Tabela13[[#This Row],[Largura de copa (metros)]])-1)</f>
        <v>10-20</v>
      </c>
      <c r="N209" s="126" t="s">
        <v>1016</v>
      </c>
      <c r="O209" s="126" t="str">
        <f>"="&amp;Tabela13[[#This Row],[Coluna1]]</f>
        <v>=10-20</v>
      </c>
      <c r="P209" s="126">
        <f>10+20</f>
        <v>30</v>
      </c>
      <c r="Q209" s="126">
        <f>Tabela13[[#This Row],[Coluna 23]]/2</f>
        <v>15</v>
      </c>
      <c r="R209" t="s">
        <v>471</v>
      </c>
      <c r="S209" t="s">
        <v>932</v>
      </c>
      <c r="T209" t="s">
        <v>362</v>
      </c>
      <c r="U209" t="s">
        <v>292</v>
      </c>
      <c r="V209" t="s">
        <v>363</v>
      </c>
      <c r="W209" t="s">
        <v>298</v>
      </c>
      <c r="X209" t="s">
        <v>309</v>
      </c>
      <c r="Y209" t="s">
        <v>294</v>
      </c>
      <c r="Z209" t="s">
        <v>496</v>
      </c>
      <c r="AA209" t="s">
        <v>297</v>
      </c>
      <c r="AB209" t="s">
        <v>294</v>
      </c>
      <c r="AC209" t="s">
        <v>299</v>
      </c>
    </row>
    <row r="210" spans="1:29">
      <c r="A210" s="220" t="s">
        <v>53</v>
      </c>
      <c r="B210" s="221"/>
      <c r="C210" s="220"/>
      <c r="D210" s="221"/>
      <c r="E210" s="221"/>
      <c r="F210" s="221"/>
      <c r="G210" s="221"/>
      <c r="H210" s="221"/>
      <c r="I210" s="221"/>
      <c r="J210" s="221"/>
      <c r="K210" s="221"/>
      <c r="L210" s="222">
        <f>LEN(Tabela13[[#This Row],[Largura de copa (metros)]])</f>
        <v>0</v>
      </c>
      <c r="M210" s="222" t="e">
        <f>LEFT(Tabela13[[#This Row],[Largura de copa (metros)]],LEN(Tabela13[[#This Row],[Largura de copa (metros)]])-1)</f>
        <v>#VALUE!</v>
      </c>
      <c r="N210" s="126"/>
      <c r="O210" s="223" t="str">
        <f>"="&amp;Tabela13[[#This Row],[Coluna1]]</f>
        <v>=</v>
      </c>
      <c r="P210" s="223"/>
      <c r="Q210" s="223">
        <f>Tabela13[[#This Row],[Coluna 23]]/2</f>
        <v>0</v>
      </c>
      <c r="R210" s="221"/>
      <c r="S210" s="221"/>
      <c r="T210" s="221"/>
      <c r="U210" s="221"/>
      <c r="V210" s="221"/>
      <c r="W210" s="221"/>
      <c r="X210" s="221"/>
      <c r="Y210" s="221"/>
      <c r="Z210" s="221"/>
      <c r="AA210" s="221"/>
      <c r="AB210" s="221"/>
      <c r="AC210" s="221"/>
    </row>
  </sheetData>
  <pageMargins left="0.7" right="0.7" top="0.75" bottom="0.75" header="0.3" footer="0.3"/>
  <pageSetup paperSize="9"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pageSetUpPr fitToPage="1"/>
  </sheetPr>
  <dimension ref="A1:AY20"/>
  <sheetViews>
    <sheetView showGridLines="0" zoomScale="55" zoomScaleNormal="55" workbookViewId="0">
      <selection activeCell="Y2" sqref="Y2"/>
    </sheetView>
  </sheetViews>
  <sheetFormatPr defaultColWidth="8.81640625" defaultRowHeight="45" customHeight="1"/>
  <cols>
    <col min="1" max="1" width="2.81640625" style="16" customWidth="1"/>
    <col min="2" max="2" width="2.6328125" style="16" customWidth="1"/>
    <col min="3" max="3" width="9.81640625" style="17" customWidth="1"/>
    <col min="4" max="4" width="8.1796875" style="18" bestFit="1" customWidth="1"/>
    <col min="5" max="5" width="20.36328125" style="18" customWidth="1"/>
    <col min="6" max="6" width="62.08984375" style="18" customWidth="1"/>
    <col min="7" max="7" width="20.36328125" style="208" customWidth="1"/>
    <col min="8" max="8" width="2.6328125" style="208" customWidth="1"/>
    <col min="9" max="9" width="3.7265625" style="20" customWidth="1"/>
    <col min="10" max="10" width="20.36328125" style="20" customWidth="1"/>
    <col min="11" max="18" width="12.6328125" style="20" customWidth="1"/>
    <col min="19" max="19" width="10" style="20" hidden="1" customWidth="1"/>
    <col min="20" max="20" width="13.6328125" style="21" customWidth="1"/>
    <col min="21" max="21" width="0.81640625" style="22" customWidth="1"/>
    <col min="22" max="22" width="14.54296875" style="23" customWidth="1"/>
    <col min="23" max="23" width="2.6328125" style="22" customWidth="1"/>
    <col min="24" max="24" width="12.6328125" style="22" customWidth="1"/>
    <col min="25" max="25" width="32.54296875" style="22" customWidth="1"/>
    <col min="26" max="26" width="9.6328125" style="24" customWidth="1"/>
    <col min="27" max="28" width="9.6328125" style="16" customWidth="1"/>
    <col min="29" max="29" width="1" style="22" customWidth="1"/>
    <col min="30" max="33" width="10.453125" style="22" customWidth="1"/>
    <col min="34" max="34" width="19" style="16" customWidth="1"/>
    <col min="35" max="35" width="14.453125" style="22" customWidth="1"/>
    <col min="36" max="39" width="19" style="16" customWidth="1"/>
    <col min="40" max="41" width="57.453125" style="16" customWidth="1"/>
    <col min="42" max="42" width="18" style="16" customWidth="1"/>
    <col min="43" max="43" width="12.81640625" style="16" bestFit="1" customWidth="1"/>
    <col min="44" max="44" width="8.453125" style="16" bestFit="1" customWidth="1"/>
    <col min="45" max="45" width="19" style="16" customWidth="1"/>
    <col min="46" max="46" width="17.81640625" style="16" customWidth="1"/>
    <col min="47" max="47" width="18.453125" style="16" customWidth="1"/>
    <col min="48" max="16384" width="8.81640625" style="16"/>
  </cols>
  <sheetData>
    <row r="1" spans="1:43" ht="86" customHeight="1">
      <c r="A1" s="133"/>
      <c r="D1" s="509" t="s">
        <v>1106</v>
      </c>
      <c r="E1" s="509"/>
      <c r="F1" s="509"/>
      <c r="G1" s="509"/>
      <c r="H1" s="509"/>
    </row>
    <row r="2" spans="1:43" ht="70" customHeight="1">
      <c r="B2" s="146"/>
      <c r="C2" s="510" t="s">
        <v>1165</v>
      </c>
      <c r="D2" s="510"/>
      <c r="E2" s="510"/>
      <c r="F2" s="510"/>
      <c r="G2" s="510"/>
      <c r="H2" s="29"/>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row>
    <row r="3" spans="1:43" ht="47" customHeight="1" thickBot="1">
      <c r="B3" s="207"/>
      <c r="C3" s="511" t="s">
        <v>1166</v>
      </c>
      <c r="D3" s="511"/>
      <c r="E3" s="511"/>
      <c r="F3" s="151"/>
      <c r="G3" s="151"/>
      <c r="H3" s="29"/>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row>
    <row r="4" spans="1:43" ht="31" customHeight="1" thickBot="1">
      <c r="B4" s="207"/>
      <c r="C4" s="209" t="s">
        <v>1167</v>
      </c>
      <c r="D4" s="210" t="s">
        <v>1168</v>
      </c>
      <c r="E4" s="506" t="s">
        <v>1169</v>
      </c>
      <c r="F4" s="506"/>
      <c r="G4" s="211" t="s">
        <v>1170</v>
      </c>
      <c r="H4" s="145"/>
      <c r="I4" s="144"/>
      <c r="J4" s="144"/>
      <c r="K4" s="144"/>
      <c r="L4" s="144"/>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row>
    <row r="5" spans="1:43" ht="31" customHeight="1">
      <c r="B5" s="207"/>
      <c r="C5" s="212">
        <v>0</v>
      </c>
      <c r="D5" s="213">
        <v>1</v>
      </c>
      <c r="E5" s="507" t="s">
        <v>1171</v>
      </c>
      <c r="F5" s="507"/>
      <c r="G5" s="214">
        <v>45659</v>
      </c>
      <c r="H5" s="145"/>
      <c r="I5" s="144"/>
      <c r="J5" s="144"/>
      <c r="K5" s="144"/>
      <c r="L5" s="144"/>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row>
    <row r="6" spans="1:43" ht="43.5" customHeight="1">
      <c r="B6" s="207"/>
      <c r="C6" s="215">
        <v>0</v>
      </c>
      <c r="D6" s="205">
        <v>2</v>
      </c>
      <c r="E6" s="508" t="s">
        <v>1176</v>
      </c>
      <c r="F6" s="508"/>
      <c r="G6" s="216">
        <v>45660</v>
      </c>
      <c r="H6" s="145"/>
      <c r="I6" s="144"/>
      <c r="J6" s="144"/>
      <c r="K6" s="144"/>
      <c r="L6" s="144"/>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row>
    <row r="7" spans="1:43" ht="199.5" customHeight="1">
      <c r="B7" s="207"/>
      <c r="C7" s="215">
        <v>0</v>
      </c>
      <c r="D7" s="205">
        <v>3</v>
      </c>
      <c r="E7" s="508" t="s">
        <v>1177</v>
      </c>
      <c r="F7" s="508"/>
      <c r="G7" s="216">
        <v>45665</v>
      </c>
      <c r="H7" s="145"/>
      <c r="I7" s="144"/>
      <c r="J7" s="144"/>
      <c r="K7" s="144"/>
      <c r="L7" s="144"/>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row>
    <row r="8" spans="1:43" ht="85.5" customHeight="1">
      <c r="B8" s="207"/>
      <c r="C8" s="215">
        <v>0</v>
      </c>
      <c r="D8" s="205">
        <v>4</v>
      </c>
      <c r="E8" s="508" t="s">
        <v>1190</v>
      </c>
      <c r="F8" s="508"/>
      <c r="G8" s="216">
        <v>45678</v>
      </c>
      <c r="H8" s="145"/>
      <c r="I8" s="149"/>
      <c r="J8" s="144"/>
      <c r="K8" s="144"/>
      <c r="L8" s="144"/>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row>
    <row r="9" spans="1:43" ht="85" customHeight="1">
      <c r="B9" s="207"/>
      <c r="C9" s="215">
        <v>0</v>
      </c>
      <c r="D9" s="205">
        <v>5</v>
      </c>
      <c r="E9" s="508" t="s">
        <v>1474</v>
      </c>
      <c r="F9" s="508"/>
      <c r="G9" s="216">
        <v>45807</v>
      </c>
      <c r="H9" s="145"/>
      <c r="I9" s="149"/>
      <c r="J9" s="144"/>
      <c r="K9" s="144"/>
      <c r="L9" s="144"/>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row>
    <row r="10" spans="1:43" ht="31" customHeight="1">
      <c r="B10" s="207"/>
      <c r="C10" s="215">
        <v>0</v>
      </c>
      <c r="D10" s="205">
        <v>6</v>
      </c>
      <c r="E10" s="508" t="s">
        <v>1478</v>
      </c>
      <c r="F10" s="508"/>
      <c r="G10" s="216">
        <v>45811</v>
      </c>
      <c r="H10" s="145"/>
      <c r="I10" s="149"/>
      <c r="J10" s="144"/>
      <c r="K10" s="144"/>
      <c r="L10" s="144"/>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row>
    <row r="11" spans="1:43" ht="31" customHeight="1">
      <c r="B11" s="207"/>
      <c r="C11" s="215"/>
      <c r="D11" s="205"/>
      <c r="E11" s="508"/>
      <c r="F11" s="508"/>
      <c r="G11" s="216"/>
      <c r="H11" s="145"/>
      <c r="I11" s="149"/>
      <c r="J11" s="144"/>
      <c r="K11" s="144"/>
      <c r="L11" s="144"/>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row>
    <row r="12" spans="1:43" ht="44" customHeight="1">
      <c r="B12" s="207"/>
      <c r="C12" s="215"/>
      <c r="D12" s="205"/>
      <c r="E12" s="508"/>
      <c r="F12" s="508"/>
      <c r="G12" s="216"/>
      <c r="H12" s="145"/>
      <c r="I12" s="149"/>
      <c r="J12" s="144"/>
      <c r="K12" s="144"/>
      <c r="L12" s="144"/>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row>
    <row r="13" spans="1:43" s="103" customFormat="1" ht="31" customHeight="1">
      <c r="B13" s="101"/>
      <c r="C13" s="215"/>
      <c r="D13" s="205"/>
      <c r="E13" s="508"/>
      <c r="F13" s="508"/>
      <c r="G13" s="216"/>
      <c r="H13" s="145"/>
      <c r="I13" s="149"/>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row>
    <row r="14" spans="1:43" ht="31" customHeight="1">
      <c r="B14" s="26"/>
      <c r="C14" s="215"/>
      <c r="D14" s="205"/>
      <c r="E14" s="508"/>
      <c r="F14" s="508"/>
      <c r="G14" s="216"/>
      <c r="H14" s="145"/>
      <c r="I14" s="149"/>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row>
    <row r="15" spans="1:43" ht="31" customHeight="1" thickBot="1">
      <c r="B15" s="26"/>
      <c r="C15" s="217"/>
      <c r="D15" s="206"/>
      <c r="E15" s="516"/>
      <c r="F15" s="516"/>
      <c r="G15" s="218"/>
      <c r="H15" s="145"/>
      <c r="I15" s="149"/>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row>
    <row r="16" spans="1:43" ht="14" customHeight="1">
      <c r="B16" s="26"/>
      <c r="C16" s="515"/>
      <c r="D16" s="515"/>
      <c r="E16" s="145"/>
      <c r="F16" s="145"/>
      <c r="G16" s="145"/>
      <c r="H16" s="145"/>
      <c r="I16" s="149"/>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row>
    <row r="17" spans="2:51" s="24" customFormat="1" ht="45" customHeight="1">
      <c r="B17" s="16"/>
      <c r="C17" s="513"/>
      <c r="D17" s="73"/>
      <c r="E17" s="73"/>
      <c r="F17" s="73"/>
      <c r="G17" s="73"/>
      <c r="H17" s="73"/>
      <c r="I17" s="73"/>
      <c r="J17" s="73"/>
      <c r="K17" s="75"/>
      <c r="L17" s="514"/>
      <c r="M17" s="514"/>
      <c r="N17" s="514"/>
      <c r="O17" s="514"/>
      <c r="P17" s="514"/>
      <c r="Q17" s="514"/>
      <c r="R17" s="514"/>
      <c r="S17" s="514"/>
      <c r="T17" s="514"/>
      <c r="U17" s="70"/>
      <c r="V17" s="75"/>
      <c r="W17" s="70"/>
      <c r="X17" s="75"/>
      <c r="Y17" s="512"/>
      <c r="AA17" s="16"/>
      <c r="AB17" s="16"/>
      <c r="AC17" s="22"/>
      <c r="AD17" s="22"/>
      <c r="AE17" s="22"/>
      <c r="AF17" s="22"/>
      <c r="AG17" s="22"/>
      <c r="AH17" s="16"/>
      <c r="AI17" s="22"/>
      <c r="AJ17" s="16"/>
      <c r="AK17" s="16"/>
      <c r="AL17" s="16"/>
      <c r="AM17" s="16"/>
      <c r="AN17" s="16"/>
      <c r="AO17" s="16"/>
      <c r="AP17" s="16"/>
      <c r="AQ17" s="16"/>
      <c r="AR17" s="16"/>
      <c r="AS17" s="16"/>
      <c r="AT17" s="16"/>
      <c r="AU17" s="16"/>
      <c r="AV17" s="16"/>
      <c r="AW17" s="16"/>
      <c r="AX17" s="16"/>
      <c r="AY17" s="16"/>
    </row>
    <row r="18" spans="2:51" s="24" customFormat="1" ht="45" customHeight="1">
      <c r="B18" s="16"/>
      <c r="C18" s="513"/>
      <c r="D18" s="74"/>
      <c r="E18" s="74"/>
      <c r="F18" s="74"/>
      <c r="G18" s="77"/>
      <c r="H18" s="76"/>
      <c r="I18" s="73"/>
      <c r="J18" s="73"/>
      <c r="K18" s="72"/>
      <c r="L18" s="514"/>
      <c r="M18" s="514"/>
      <c r="N18" s="514"/>
      <c r="O18" s="514"/>
      <c r="P18" s="514"/>
      <c r="Q18" s="514"/>
      <c r="R18" s="514"/>
      <c r="S18" s="514"/>
      <c r="T18" s="514"/>
      <c r="U18" s="70"/>
      <c r="V18" s="71"/>
      <c r="W18" s="70"/>
      <c r="X18" s="69"/>
      <c r="Y18" s="512"/>
      <c r="AA18" s="16"/>
      <c r="AB18" s="16"/>
      <c r="AC18" s="22"/>
      <c r="AD18" s="22"/>
      <c r="AE18" s="22"/>
      <c r="AF18" s="22"/>
      <c r="AG18" s="22"/>
      <c r="AH18" s="16"/>
      <c r="AI18" s="22"/>
      <c r="AJ18" s="16"/>
      <c r="AK18" s="16"/>
      <c r="AL18" s="16"/>
      <c r="AM18" s="16"/>
      <c r="AN18" s="16"/>
      <c r="AO18" s="16"/>
      <c r="AP18" s="16"/>
      <c r="AQ18" s="16"/>
      <c r="AR18" s="16"/>
      <c r="AS18" s="16"/>
      <c r="AT18" s="16"/>
      <c r="AU18" s="16"/>
      <c r="AV18" s="16"/>
      <c r="AW18" s="16"/>
      <c r="AX18" s="16"/>
      <c r="AY18" s="16"/>
    </row>
    <row r="19" spans="2:51" s="24" customFormat="1" ht="45" customHeight="1">
      <c r="B19" s="16"/>
      <c r="C19" s="513"/>
      <c r="D19" s="73"/>
      <c r="E19" s="73"/>
      <c r="F19" s="73"/>
      <c r="G19" s="73"/>
      <c r="H19" s="73"/>
      <c r="I19" s="73"/>
      <c r="J19" s="73"/>
      <c r="K19" s="75"/>
      <c r="L19" s="514"/>
      <c r="M19" s="514"/>
      <c r="N19" s="514"/>
      <c r="O19" s="514"/>
      <c r="P19" s="514"/>
      <c r="Q19" s="514"/>
      <c r="R19" s="514"/>
      <c r="S19" s="514"/>
      <c r="T19" s="514"/>
      <c r="U19" s="70"/>
      <c r="V19" s="75"/>
      <c r="W19" s="70"/>
      <c r="X19" s="75"/>
      <c r="Y19" s="512"/>
      <c r="AA19" s="16"/>
      <c r="AB19" s="16"/>
      <c r="AC19" s="22"/>
      <c r="AD19" s="22"/>
      <c r="AE19" s="22"/>
      <c r="AF19" s="22"/>
      <c r="AG19" s="22"/>
      <c r="AH19" s="16"/>
      <c r="AI19" s="22"/>
      <c r="AJ19" s="16"/>
      <c r="AK19" s="16"/>
      <c r="AL19" s="16"/>
      <c r="AM19" s="16"/>
      <c r="AN19" s="16"/>
      <c r="AO19" s="16"/>
      <c r="AP19" s="16"/>
      <c r="AQ19" s="16"/>
      <c r="AR19" s="16"/>
      <c r="AS19" s="16"/>
      <c r="AT19" s="16"/>
      <c r="AU19" s="16"/>
      <c r="AV19" s="16"/>
      <c r="AW19" s="16"/>
      <c r="AX19" s="16"/>
      <c r="AY19" s="16"/>
    </row>
    <row r="20" spans="2:51" s="24" customFormat="1" ht="45" customHeight="1">
      <c r="B20" s="16"/>
      <c r="C20" s="513"/>
      <c r="D20" s="74"/>
      <c r="E20" s="74"/>
      <c r="F20" s="74"/>
      <c r="G20" s="74"/>
      <c r="H20" s="74"/>
      <c r="I20" s="73"/>
      <c r="J20" s="73"/>
      <c r="K20" s="72"/>
      <c r="L20" s="514"/>
      <c r="M20" s="514"/>
      <c r="N20" s="514"/>
      <c r="O20" s="514"/>
      <c r="P20" s="514"/>
      <c r="Q20" s="514"/>
      <c r="R20" s="514"/>
      <c r="S20" s="514"/>
      <c r="T20" s="514"/>
      <c r="U20" s="70"/>
      <c r="V20" s="71"/>
      <c r="W20" s="70"/>
      <c r="X20" s="69"/>
      <c r="Y20" s="512"/>
      <c r="AA20" s="16"/>
      <c r="AB20" s="16"/>
      <c r="AC20" s="22"/>
      <c r="AD20" s="22"/>
      <c r="AE20" s="22"/>
      <c r="AF20" s="22"/>
      <c r="AG20" s="22"/>
      <c r="AH20" s="16"/>
      <c r="AI20" s="22"/>
      <c r="AJ20" s="16"/>
      <c r="AK20" s="16"/>
      <c r="AL20" s="16"/>
      <c r="AM20" s="16"/>
      <c r="AN20" s="16"/>
      <c r="AO20" s="16"/>
      <c r="AP20" s="16"/>
      <c r="AQ20" s="16"/>
      <c r="AR20" s="16"/>
      <c r="AS20" s="16"/>
      <c r="AT20" s="16"/>
      <c r="AU20" s="16"/>
      <c r="AV20" s="16"/>
      <c r="AW20" s="16"/>
      <c r="AX20" s="16"/>
      <c r="AY20" s="16"/>
    </row>
  </sheetData>
  <protectedRanges>
    <protectedRange algorithmName="SHA-512" hashValue="Vg7XQXu1plkFz98tl3LY5UU83Qoso1WeBFey7DFiKNhrJ3pCoe2PEgjUZ4AJ+V7IsAPcQmQp/Mc+8dJ4axR5dg==" saltValue="ZolWhvgmqazzPhi23WvcUw==" spinCount="100000" sqref="E16:G16 F15:H15" name="Indice Impermeabilidade"/>
  </protectedRanges>
  <mergeCells count="21">
    <mergeCell ref="D1:H1"/>
    <mergeCell ref="C2:G2"/>
    <mergeCell ref="C3:E3"/>
    <mergeCell ref="E9:F9"/>
    <mergeCell ref="Y17:Y20"/>
    <mergeCell ref="C17:C18"/>
    <mergeCell ref="L17:T18"/>
    <mergeCell ref="C19:C20"/>
    <mergeCell ref="L19:T20"/>
    <mergeCell ref="C16:D16"/>
    <mergeCell ref="E13:F13"/>
    <mergeCell ref="E14:F14"/>
    <mergeCell ref="E15:F15"/>
    <mergeCell ref="E10:F10"/>
    <mergeCell ref="E11:F11"/>
    <mergeCell ref="E12:F12"/>
    <mergeCell ref="E4:F4"/>
    <mergeCell ref="E5:F5"/>
    <mergeCell ref="E6:F6"/>
    <mergeCell ref="E7:F7"/>
    <mergeCell ref="E8:F8"/>
  </mergeCells>
  <pageMargins left="0.25" right="0.25" top="0.75" bottom="0.75" header="0.3" footer="0.3"/>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
    <pageSetUpPr fitToPage="1"/>
  </sheetPr>
  <dimension ref="A1:AY26"/>
  <sheetViews>
    <sheetView showGridLines="0" zoomScale="115" zoomScaleNormal="115" workbookViewId="0">
      <selection activeCell="C13" sqref="C13"/>
    </sheetView>
  </sheetViews>
  <sheetFormatPr defaultColWidth="8.81640625" defaultRowHeight="45" customHeight="1"/>
  <cols>
    <col min="1" max="1" width="2.81640625" style="287" customWidth="1"/>
    <col min="2" max="2" width="2.6328125" style="287" customWidth="1"/>
    <col min="3" max="3" width="34.81640625" style="288" customWidth="1"/>
    <col min="4" max="4" width="35.1796875" style="503" customWidth="1"/>
    <col min="5" max="6" width="20.36328125" style="503" customWidth="1"/>
    <col min="7" max="7" width="20.36328125" style="476" customWidth="1"/>
    <col min="8" max="8" width="2.6328125" style="476" customWidth="1"/>
    <col min="9" max="9" width="3.7265625" style="395" customWidth="1"/>
    <col min="10" max="10" width="20.36328125" style="395" customWidth="1"/>
    <col min="11" max="18" width="12.6328125" style="395" customWidth="1"/>
    <col min="19" max="19" width="10" style="395" hidden="1" customWidth="1"/>
    <col min="20" max="20" width="13.6328125" style="473" customWidth="1"/>
    <col min="21" max="21" width="0.81640625" style="474" customWidth="1"/>
    <col min="22" max="22" width="14.54296875" style="287" customWidth="1"/>
    <col min="23" max="23" width="2.6328125" style="474" customWidth="1"/>
    <col min="24" max="24" width="12.6328125" style="474" customWidth="1"/>
    <col min="25" max="25" width="32.54296875" style="474" customWidth="1"/>
    <col min="26" max="26" width="9.6328125" style="475" customWidth="1"/>
    <col min="27" max="28" width="9.6328125" style="287" customWidth="1"/>
    <col min="29" max="29" width="1" style="474" customWidth="1"/>
    <col min="30" max="33" width="10.453125" style="474" customWidth="1"/>
    <col min="34" max="34" width="19" style="287" customWidth="1"/>
    <col min="35" max="35" width="14.453125" style="474" customWidth="1"/>
    <col min="36" max="39" width="19" style="287" customWidth="1"/>
    <col min="40" max="41" width="57.453125" style="287" customWidth="1"/>
    <col min="42" max="42" width="18" style="287" customWidth="1"/>
    <col min="43" max="43" width="12.81640625" style="287" bestFit="1" customWidth="1"/>
    <col min="44" max="44" width="8.453125" style="287" bestFit="1" customWidth="1"/>
    <col min="45" max="45" width="19" style="287" customWidth="1"/>
    <col min="46" max="46" width="17.81640625" style="287" customWidth="1"/>
    <col min="47" max="47" width="18.453125" style="287" customWidth="1"/>
    <col min="48" max="16384" width="8.81640625" style="287"/>
  </cols>
  <sheetData>
    <row r="1" spans="1:43" ht="86" customHeight="1">
      <c r="A1" s="472"/>
      <c r="D1" s="517" t="s">
        <v>1106</v>
      </c>
      <c r="E1" s="517"/>
      <c r="F1" s="517"/>
      <c r="G1" s="517"/>
      <c r="H1" s="517"/>
    </row>
    <row r="2" spans="1:43" ht="70" customHeight="1">
      <c r="B2" s="396"/>
      <c r="C2" s="520" t="s">
        <v>1031</v>
      </c>
      <c r="D2" s="520"/>
      <c r="E2" s="396"/>
      <c r="F2" s="396"/>
      <c r="G2" s="396"/>
      <c r="H2" s="382"/>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476"/>
      <c r="AL2" s="476"/>
      <c r="AM2" s="476"/>
      <c r="AN2" s="476"/>
      <c r="AO2" s="476"/>
      <c r="AP2" s="476"/>
      <c r="AQ2" s="476"/>
    </row>
    <row r="3" spans="1:43" ht="47" customHeight="1" thickBot="1">
      <c r="B3" s="397"/>
      <c r="C3" s="521" t="s">
        <v>1035</v>
      </c>
      <c r="D3" s="521"/>
      <c r="E3" s="477"/>
      <c r="F3" s="477"/>
      <c r="G3" s="477"/>
      <c r="H3" s="382"/>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row>
    <row r="4" spans="1:43" ht="31" customHeight="1" thickBot="1">
      <c r="B4" s="397"/>
      <c r="C4" s="532" t="s">
        <v>1034</v>
      </c>
      <c r="D4" s="533"/>
      <c r="E4" s="533"/>
      <c r="F4" s="533"/>
      <c r="G4" s="534"/>
      <c r="H4" s="478"/>
      <c r="I4" s="479"/>
      <c r="J4" s="479"/>
      <c r="K4" s="479"/>
      <c r="L4" s="479"/>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row>
    <row r="5" spans="1:43" ht="31" customHeight="1">
      <c r="B5" s="397"/>
      <c r="C5" s="480" t="s">
        <v>1036</v>
      </c>
      <c r="D5" s="535" t="s">
        <v>1140</v>
      </c>
      <c r="E5" s="535"/>
      <c r="F5" s="535"/>
      <c r="G5" s="536"/>
      <c r="H5" s="478"/>
      <c r="I5" s="479"/>
      <c r="J5" s="479"/>
      <c r="K5" s="479"/>
      <c r="L5" s="479"/>
      <c r="M5" s="476"/>
      <c r="N5" s="476"/>
      <c r="O5" s="476"/>
      <c r="P5" s="476"/>
      <c r="Q5" s="476"/>
      <c r="R5" s="476"/>
      <c r="S5" s="476"/>
      <c r="T5" s="476"/>
      <c r="U5" s="476"/>
      <c r="V5" s="476"/>
      <c r="W5" s="476"/>
      <c r="X5" s="476"/>
      <c r="Y5" s="476"/>
      <c r="Z5" s="476"/>
      <c r="AA5" s="476"/>
      <c r="AB5" s="476"/>
      <c r="AC5" s="476"/>
      <c r="AD5" s="476"/>
      <c r="AE5" s="476"/>
      <c r="AF5" s="476"/>
      <c r="AG5" s="476"/>
      <c r="AH5" s="476"/>
      <c r="AI5" s="476"/>
      <c r="AJ5" s="476"/>
      <c r="AK5" s="476"/>
      <c r="AL5" s="476"/>
      <c r="AM5" s="476"/>
      <c r="AN5" s="476"/>
      <c r="AO5" s="476"/>
      <c r="AP5" s="476"/>
      <c r="AQ5" s="476"/>
    </row>
    <row r="6" spans="1:43" ht="31" customHeight="1">
      <c r="B6" s="397"/>
      <c r="C6" s="481" t="s">
        <v>1037</v>
      </c>
      <c r="D6" s="518" t="s">
        <v>1038</v>
      </c>
      <c r="E6" s="518"/>
      <c r="F6" s="518"/>
      <c r="G6" s="519"/>
      <c r="H6" s="478"/>
      <c r="I6" s="479"/>
      <c r="J6" s="479"/>
      <c r="K6" s="479"/>
      <c r="L6" s="479"/>
      <c r="M6" s="476"/>
      <c r="N6" s="476"/>
      <c r="O6" s="476"/>
      <c r="P6" s="476"/>
      <c r="Q6" s="476"/>
      <c r="R6" s="476"/>
      <c r="S6" s="476"/>
      <c r="T6" s="476"/>
      <c r="U6" s="476"/>
      <c r="V6" s="476"/>
      <c r="W6" s="476"/>
      <c r="X6" s="476"/>
      <c r="Y6" s="476"/>
      <c r="Z6" s="476"/>
      <c r="AA6" s="476"/>
      <c r="AB6" s="476"/>
      <c r="AC6" s="476"/>
      <c r="AD6" s="476"/>
      <c r="AE6" s="476"/>
      <c r="AF6" s="476"/>
      <c r="AG6" s="476"/>
      <c r="AH6" s="476"/>
      <c r="AI6" s="476"/>
      <c r="AJ6" s="476"/>
      <c r="AK6" s="476"/>
      <c r="AL6" s="476"/>
      <c r="AM6" s="476"/>
      <c r="AN6" s="476"/>
      <c r="AO6" s="476"/>
      <c r="AP6" s="476"/>
      <c r="AQ6" s="476"/>
    </row>
    <row r="7" spans="1:43" ht="31" customHeight="1">
      <c r="B7" s="397"/>
      <c r="C7" s="481" t="s">
        <v>1144</v>
      </c>
      <c r="D7" s="518" t="s">
        <v>1179</v>
      </c>
      <c r="E7" s="518"/>
      <c r="F7" s="518"/>
      <c r="G7" s="519"/>
      <c r="H7" s="478"/>
      <c r="I7" s="479"/>
      <c r="J7" s="479"/>
      <c r="K7" s="479"/>
      <c r="L7" s="479"/>
      <c r="M7" s="476"/>
      <c r="N7" s="476"/>
      <c r="O7" s="476"/>
      <c r="P7" s="476"/>
      <c r="Q7" s="476"/>
      <c r="R7" s="476"/>
      <c r="S7" s="476"/>
      <c r="T7" s="476"/>
      <c r="U7" s="476"/>
      <c r="V7" s="476"/>
      <c r="W7" s="476"/>
      <c r="X7" s="476"/>
      <c r="Y7" s="476"/>
      <c r="Z7" s="476"/>
      <c r="AA7" s="476"/>
      <c r="AB7" s="476"/>
      <c r="AC7" s="476"/>
      <c r="AD7" s="476"/>
      <c r="AE7" s="476"/>
      <c r="AF7" s="476"/>
      <c r="AG7" s="476"/>
      <c r="AH7" s="476"/>
      <c r="AI7" s="476"/>
      <c r="AJ7" s="476"/>
      <c r="AK7" s="476"/>
      <c r="AL7" s="476"/>
      <c r="AM7" s="476"/>
      <c r="AN7" s="476"/>
      <c r="AO7" s="476"/>
      <c r="AP7" s="476"/>
      <c r="AQ7" s="476"/>
    </row>
    <row r="8" spans="1:43" ht="31" customHeight="1">
      <c r="B8" s="397"/>
      <c r="C8" s="481" t="s">
        <v>1070</v>
      </c>
      <c r="D8" s="518" t="s">
        <v>1180</v>
      </c>
      <c r="E8" s="518"/>
      <c r="F8" s="518"/>
      <c r="G8" s="519"/>
      <c r="H8" s="478"/>
      <c r="I8" s="482"/>
      <c r="J8" s="479"/>
      <c r="K8" s="479"/>
      <c r="L8" s="479"/>
      <c r="M8" s="476"/>
      <c r="N8" s="476"/>
      <c r="O8" s="476"/>
      <c r="P8" s="476"/>
      <c r="Q8" s="476"/>
      <c r="R8" s="476"/>
      <c r="S8" s="476"/>
      <c r="T8" s="476"/>
      <c r="U8" s="476"/>
      <c r="V8" s="476"/>
      <c r="W8" s="476"/>
      <c r="X8" s="476"/>
      <c r="Y8" s="476"/>
      <c r="Z8" s="476"/>
      <c r="AA8" s="476"/>
      <c r="AB8" s="476"/>
      <c r="AC8" s="476"/>
      <c r="AD8" s="476"/>
      <c r="AE8" s="476"/>
      <c r="AF8" s="476"/>
      <c r="AG8" s="476"/>
      <c r="AH8" s="476"/>
      <c r="AI8" s="476"/>
      <c r="AJ8" s="476"/>
      <c r="AK8" s="476"/>
      <c r="AL8" s="476"/>
      <c r="AM8" s="476"/>
      <c r="AN8" s="476"/>
      <c r="AO8" s="476"/>
      <c r="AP8" s="476"/>
      <c r="AQ8" s="476"/>
    </row>
    <row r="9" spans="1:43" ht="31" customHeight="1">
      <c r="B9" s="397"/>
      <c r="C9" s="481" t="s">
        <v>1141</v>
      </c>
      <c r="D9" s="518" t="s">
        <v>1182</v>
      </c>
      <c r="E9" s="518"/>
      <c r="F9" s="518"/>
      <c r="G9" s="519"/>
      <c r="H9" s="478"/>
      <c r="I9" s="482"/>
      <c r="J9" s="479"/>
      <c r="K9" s="479"/>
      <c r="L9" s="479"/>
      <c r="M9" s="476"/>
      <c r="N9" s="476"/>
      <c r="O9" s="476"/>
      <c r="P9" s="476"/>
      <c r="Q9" s="476"/>
      <c r="R9" s="476"/>
      <c r="S9" s="476"/>
      <c r="T9" s="476"/>
      <c r="U9" s="476"/>
      <c r="V9" s="476"/>
      <c r="W9" s="476"/>
      <c r="X9" s="476"/>
      <c r="Y9" s="476"/>
      <c r="Z9" s="476"/>
      <c r="AA9" s="476"/>
      <c r="AB9" s="476"/>
      <c r="AC9" s="476"/>
      <c r="AD9" s="476"/>
      <c r="AE9" s="476"/>
      <c r="AF9" s="476"/>
      <c r="AG9" s="476"/>
      <c r="AH9" s="476"/>
      <c r="AI9" s="476"/>
      <c r="AJ9" s="476"/>
      <c r="AK9" s="476"/>
      <c r="AL9" s="476"/>
      <c r="AM9" s="476"/>
      <c r="AN9" s="476"/>
      <c r="AO9" s="476"/>
      <c r="AP9" s="476"/>
      <c r="AQ9" s="476"/>
    </row>
    <row r="10" spans="1:43" ht="31" customHeight="1">
      <c r="B10" s="397"/>
      <c r="C10" s="481" t="s">
        <v>1142</v>
      </c>
      <c r="D10" s="518" t="s">
        <v>1181</v>
      </c>
      <c r="E10" s="518"/>
      <c r="F10" s="518"/>
      <c r="G10" s="519"/>
      <c r="H10" s="478"/>
      <c r="I10" s="482"/>
      <c r="J10" s="479"/>
      <c r="K10" s="479"/>
      <c r="L10" s="479"/>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6"/>
      <c r="AK10" s="476"/>
      <c r="AL10" s="476"/>
      <c r="AM10" s="476"/>
      <c r="AN10" s="476"/>
      <c r="AO10" s="476"/>
      <c r="AP10" s="476"/>
      <c r="AQ10" s="476"/>
    </row>
    <row r="11" spans="1:43" ht="31" customHeight="1">
      <c r="B11" s="397"/>
      <c r="C11" s="481" t="s">
        <v>1143</v>
      </c>
      <c r="D11" s="518" t="s">
        <v>1183</v>
      </c>
      <c r="E11" s="518"/>
      <c r="F11" s="518"/>
      <c r="G11" s="519"/>
      <c r="H11" s="478"/>
      <c r="I11" s="482"/>
      <c r="J11" s="479"/>
      <c r="K11" s="479"/>
      <c r="L11" s="479"/>
      <c r="M11" s="476"/>
      <c r="N11" s="476"/>
      <c r="O11" s="476"/>
      <c r="P11" s="476"/>
      <c r="Q11" s="476"/>
      <c r="R11" s="476"/>
      <c r="S11" s="476"/>
      <c r="T11" s="476"/>
      <c r="U11" s="476"/>
      <c r="V11" s="476"/>
      <c r="W11" s="476"/>
      <c r="X11" s="476"/>
      <c r="Y11" s="476"/>
      <c r="Z11" s="476"/>
      <c r="AA11" s="476"/>
      <c r="AB11" s="476"/>
      <c r="AC11" s="476"/>
      <c r="AD11" s="476"/>
      <c r="AE11" s="476"/>
      <c r="AF11" s="476"/>
      <c r="AG11" s="476"/>
      <c r="AH11" s="476"/>
      <c r="AI11" s="476"/>
      <c r="AJ11" s="476"/>
      <c r="AK11" s="476"/>
      <c r="AL11" s="476"/>
      <c r="AM11" s="476"/>
      <c r="AN11" s="476"/>
      <c r="AO11" s="476"/>
      <c r="AP11" s="476"/>
      <c r="AQ11" s="476"/>
    </row>
    <row r="12" spans="1:43" ht="44" customHeight="1">
      <c r="B12" s="397"/>
      <c r="C12" s="481" t="s">
        <v>1146</v>
      </c>
      <c r="D12" s="518" t="s">
        <v>1145</v>
      </c>
      <c r="E12" s="518"/>
      <c r="F12" s="518"/>
      <c r="G12" s="519"/>
      <c r="H12" s="478"/>
      <c r="I12" s="482"/>
      <c r="J12" s="479"/>
      <c r="K12" s="479"/>
      <c r="L12" s="479"/>
      <c r="M12" s="476"/>
      <c r="N12" s="476"/>
      <c r="O12" s="476"/>
      <c r="P12" s="476"/>
      <c r="Q12" s="476"/>
      <c r="R12" s="476"/>
      <c r="S12" s="476"/>
      <c r="T12" s="476"/>
      <c r="U12" s="476"/>
      <c r="V12" s="476"/>
      <c r="W12" s="476"/>
      <c r="X12" s="476"/>
      <c r="Y12" s="476"/>
      <c r="Z12" s="476"/>
      <c r="AA12" s="476"/>
      <c r="AB12" s="476"/>
      <c r="AC12" s="476"/>
      <c r="AD12" s="476"/>
      <c r="AE12" s="476"/>
      <c r="AF12" s="476"/>
      <c r="AG12" s="476"/>
      <c r="AH12" s="476"/>
      <c r="AI12" s="476"/>
      <c r="AJ12" s="476"/>
      <c r="AK12" s="476"/>
      <c r="AL12" s="476"/>
      <c r="AM12" s="476"/>
      <c r="AN12" s="476"/>
      <c r="AO12" s="476"/>
      <c r="AP12" s="476"/>
      <c r="AQ12" s="476"/>
    </row>
    <row r="13" spans="1:43" s="483" customFormat="1" ht="31" customHeight="1">
      <c r="B13" s="398"/>
      <c r="C13" s="481" t="s">
        <v>1039</v>
      </c>
      <c r="D13" s="518" t="s">
        <v>1184</v>
      </c>
      <c r="E13" s="518"/>
      <c r="F13" s="518"/>
      <c r="G13" s="519"/>
      <c r="H13" s="478"/>
      <c r="I13" s="482"/>
      <c r="J13" s="484"/>
      <c r="K13" s="484"/>
      <c r="L13" s="484"/>
      <c r="M13" s="484"/>
      <c r="N13" s="484"/>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484"/>
      <c r="AL13" s="484"/>
      <c r="AM13" s="484"/>
      <c r="AN13" s="484"/>
      <c r="AO13" s="484"/>
      <c r="AP13" s="484"/>
      <c r="AQ13" s="484"/>
    </row>
    <row r="14" spans="1:43" ht="31" customHeight="1">
      <c r="B14" s="399"/>
      <c r="C14" s="481" t="s">
        <v>1187</v>
      </c>
      <c r="D14" s="518" t="s">
        <v>1185</v>
      </c>
      <c r="E14" s="518"/>
      <c r="F14" s="518"/>
      <c r="G14" s="519"/>
      <c r="H14" s="478"/>
      <c r="I14" s="482"/>
      <c r="J14" s="476"/>
      <c r="K14" s="476"/>
      <c r="L14" s="476"/>
      <c r="M14" s="476"/>
      <c r="N14" s="476"/>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476"/>
      <c r="AL14" s="476"/>
      <c r="AM14" s="476"/>
      <c r="AN14" s="476"/>
      <c r="AO14" s="476"/>
      <c r="AP14" s="476"/>
      <c r="AQ14" s="476"/>
    </row>
    <row r="15" spans="1:43" ht="31" customHeight="1" thickBot="1">
      <c r="B15" s="399"/>
      <c r="C15" s="485" t="s">
        <v>221</v>
      </c>
      <c r="D15" s="537" t="s">
        <v>1186</v>
      </c>
      <c r="E15" s="537"/>
      <c r="F15" s="537"/>
      <c r="G15" s="538"/>
      <c r="H15" s="478"/>
      <c r="I15" s="482"/>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476"/>
      <c r="AN15" s="476"/>
      <c r="AO15" s="476"/>
      <c r="AP15" s="476"/>
      <c r="AQ15" s="476"/>
    </row>
    <row r="16" spans="1:43" ht="31" customHeight="1" thickBot="1">
      <c r="B16" s="399"/>
      <c r="C16" s="522" t="s">
        <v>1040</v>
      </c>
      <c r="D16" s="522"/>
      <c r="E16" s="478"/>
      <c r="F16" s="478"/>
      <c r="G16" s="478"/>
      <c r="H16" s="478"/>
      <c r="I16" s="482"/>
      <c r="J16" s="476"/>
      <c r="K16" s="476"/>
      <c r="L16" s="476"/>
      <c r="M16" s="476"/>
      <c r="N16" s="476"/>
      <c r="O16" s="476"/>
      <c r="P16" s="476"/>
      <c r="Q16" s="476"/>
      <c r="R16" s="476"/>
      <c r="S16" s="476"/>
      <c r="T16" s="476"/>
      <c r="U16" s="476"/>
      <c r="V16" s="476"/>
      <c r="W16" s="476"/>
      <c r="X16" s="476"/>
      <c r="Y16" s="476"/>
      <c r="Z16" s="476"/>
      <c r="AA16" s="476"/>
      <c r="AB16" s="476"/>
      <c r="AC16" s="476"/>
      <c r="AD16" s="476"/>
      <c r="AE16" s="476"/>
      <c r="AF16" s="476"/>
      <c r="AG16" s="476"/>
      <c r="AH16" s="476"/>
      <c r="AI16" s="476"/>
      <c r="AJ16" s="476"/>
      <c r="AK16" s="476"/>
      <c r="AL16" s="476"/>
      <c r="AM16" s="476"/>
      <c r="AN16" s="476"/>
      <c r="AO16" s="476"/>
      <c r="AP16" s="476"/>
      <c r="AQ16" s="476"/>
    </row>
    <row r="17" spans="2:51" ht="57" customHeight="1">
      <c r="B17" s="399"/>
      <c r="C17" s="523" t="s">
        <v>1479</v>
      </c>
      <c r="D17" s="524"/>
      <c r="E17" s="524"/>
      <c r="F17" s="524"/>
      <c r="G17" s="525"/>
      <c r="H17" s="478"/>
      <c r="I17" s="482"/>
      <c r="J17" s="476"/>
      <c r="K17" s="476"/>
      <c r="L17" s="476"/>
      <c r="M17" s="476"/>
      <c r="N17" s="476"/>
      <c r="O17" s="476"/>
      <c r="P17" s="476"/>
      <c r="Q17" s="476"/>
      <c r="R17" s="476"/>
      <c r="S17" s="476"/>
      <c r="T17" s="476"/>
      <c r="U17" s="476"/>
      <c r="V17" s="476"/>
      <c r="W17" s="476"/>
      <c r="X17" s="476"/>
      <c r="Y17" s="287"/>
      <c r="Z17" s="476"/>
      <c r="AA17" s="476"/>
      <c r="AB17" s="476"/>
      <c r="AC17" s="476"/>
      <c r="AD17" s="476"/>
      <c r="AE17" s="476"/>
      <c r="AF17" s="476"/>
      <c r="AG17" s="476"/>
      <c r="AH17" s="476"/>
      <c r="AI17" s="476"/>
      <c r="AJ17" s="476"/>
      <c r="AK17" s="476"/>
      <c r="AL17" s="476"/>
      <c r="AM17" s="476"/>
      <c r="AN17" s="476"/>
      <c r="AO17" s="476"/>
      <c r="AP17" s="476"/>
      <c r="AQ17" s="476"/>
    </row>
    <row r="18" spans="2:51" ht="49" customHeight="1">
      <c r="B18" s="399"/>
      <c r="C18" s="526"/>
      <c r="D18" s="527"/>
      <c r="E18" s="527"/>
      <c r="F18" s="527"/>
      <c r="G18" s="528"/>
      <c r="H18" s="478"/>
      <c r="I18" s="482"/>
      <c r="J18" s="476"/>
      <c r="K18" s="476"/>
      <c r="L18" s="476"/>
      <c r="M18" s="476"/>
      <c r="N18" s="476"/>
      <c r="O18" s="476"/>
      <c r="P18" s="476"/>
      <c r="Q18" s="476"/>
      <c r="R18" s="476"/>
      <c r="S18" s="476"/>
      <c r="T18" s="476"/>
      <c r="U18" s="476"/>
      <c r="V18" s="476"/>
      <c r="W18" s="476"/>
      <c r="X18" s="476"/>
      <c r="Y18" s="287"/>
      <c r="Z18" s="287"/>
      <c r="AA18" s="476"/>
      <c r="AB18" s="476"/>
      <c r="AC18" s="476"/>
      <c r="AD18" s="476"/>
      <c r="AE18" s="476"/>
      <c r="AF18" s="476"/>
      <c r="AG18" s="476"/>
      <c r="AH18" s="476"/>
      <c r="AI18" s="476"/>
      <c r="AJ18" s="476"/>
      <c r="AK18" s="476"/>
      <c r="AL18" s="476"/>
      <c r="AM18" s="476"/>
      <c r="AN18" s="476"/>
      <c r="AO18" s="476"/>
      <c r="AP18" s="476"/>
      <c r="AQ18" s="476"/>
    </row>
    <row r="19" spans="2:51" ht="45" customHeight="1">
      <c r="B19" s="486"/>
      <c r="C19" s="526"/>
      <c r="D19" s="527"/>
      <c r="E19" s="527"/>
      <c r="F19" s="527"/>
      <c r="G19" s="528"/>
      <c r="H19" s="487"/>
      <c r="I19" s="488"/>
      <c r="J19" s="489"/>
      <c r="K19" s="490"/>
      <c r="L19" s="539"/>
      <c r="M19" s="539"/>
      <c r="N19" s="539"/>
      <c r="O19" s="539"/>
      <c r="P19" s="539"/>
      <c r="Q19" s="539"/>
      <c r="R19" s="539"/>
      <c r="S19" s="539"/>
      <c r="T19" s="539"/>
      <c r="U19" s="491"/>
      <c r="V19" s="490"/>
      <c r="W19" s="492"/>
      <c r="X19" s="490"/>
      <c r="Y19" s="493"/>
    </row>
    <row r="20" spans="2:51" ht="45" customHeight="1" thickBot="1">
      <c r="B20" s="486"/>
      <c r="C20" s="529"/>
      <c r="D20" s="530"/>
      <c r="E20" s="530"/>
      <c r="F20" s="530"/>
      <c r="G20" s="531"/>
      <c r="H20" s="494"/>
      <c r="I20" s="489"/>
      <c r="J20" s="489"/>
      <c r="K20" s="495"/>
      <c r="L20" s="539"/>
      <c r="M20" s="539"/>
      <c r="N20" s="539"/>
      <c r="O20" s="539"/>
      <c r="P20" s="539"/>
      <c r="Q20" s="539"/>
      <c r="R20" s="539"/>
      <c r="S20" s="539"/>
      <c r="T20" s="539"/>
      <c r="U20" s="492"/>
      <c r="V20" s="496"/>
      <c r="W20" s="492"/>
      <c r="X20" s="497"/>
      <c r="Y20" s="540"/>
    </row>
    <row r="21" spans="2:51" s="475" customFormat="1" ht="7" customHeight="1">
      <c r="B21" s="486"/>
      <c r="C21" s="498"/>
      <c r="D21" s="487"/>
      <c r="E21" s="487"/>
      <c r="F21" s="487"/>
      <c r="G21" s="487"/>
      <c r="H21" s="487"/>
      <c r="I21" s="489"/>
      <c r="J21" s="489"/>
      <c r="K21" s="490"/>
      <c r="L21" s="539"/>
      <c r="M21" s="539"/>
      <c r="N21" s="539"/>
      <c r="O21" s="539"/>
      <c r="P21" s="539"/>
      <c r="Q21" s="539"/>
      <c r="R21" s="539"/>
      <c r="S21" s="539"/>
      <c r="T21" s="539"/>
      <c r="U21" s="492"/>
      <c r="V21" s="490"/>
      <c r="W21" s="492"/>
      <c r="X21" s="490"/>
      <c r="Y21" s="540"/>
      <c r="AA21" s="287"/>
      <c r="AB21" s="287"/>
      <c r="AC21" s="474"/>
      <c r="AD21" s="474"/>
      <c r="AE21" s="474"/>
      <c r="AF21" s="474"/>
      <c r="AG21" s="474"/>
      <c r="AH21" s="287"/>
      <c r="AI21" s="474"/>
      <c r="AJ21" s="287"/>
      <c r="AK21" s="287"/>
      <c r="AL21" s="287"/>
      <c r="AM21" s="287"/>
      <c r="AN21" s="287"/>
      <c r="AO21" s="287"/>
      <c r="AP21" s="287"/>
      <c r="AQ21" s="287"/>
      <c r="AR21" s="287"/>
      <c r="AS21" s="287"/>
      <c r="AT21" s="287"/>
      <c r="AU21" s="287"/>
      <c r="AV21" s="287"/>
      <c r="AW21" s="287"/>
      <c r="AX21" s="287"/>
      <c r="AY21" s="287"/>
    </row>
    <row r="22" spans="2:51" s="475" customFormat="1" ht="20" customHeight="1">
      <c r="B22" s="287"/>
      <c r="C22" s="499"/>
      <c r="D22" s="500"/>
      <c r="E22" s="500"/>
      <c r="F22" s="500"/>
      <c r="G22" s="500"/>
      <c r="H22" s="501"/>
      <c r="I22" s="489"/>
      <c r="J22" s="489"/>
      <c r="K22" s="495"/>
      <c r="L22" s="539"/>
      <c r="M22" s="539"/>
      <c r="N22" s="539"/>
      <c r="O22" s="539"/>
      <c r="P22" s="539"/>
      <c r="Q22" s="539"/>
      <c r="R22" s="539"/>
      <c r="S22" s="539"/>
      <c r="T22" s="539"/>
      <c r="U22" s="492"/>
      <c r="V22" s="496"/>
      <c r="W22" s="492"/>
      <c r="X22" s="497"/>
      <c r="Y22" s="540"/>
      <c r="AA22" s="287"/>
      <c r="AB22" s="287"/>
      <c r="AC22" s="474"/>
      <c r="AD22" s="474"/>
      <c r="AE22" s="474"/>
      <c r="AF22" s="474"/>
      <c r="AG22" s="474"/>
      <c r="AH22" s="287"/>
      <c r="AI22" s="474"/>
      <c r="AJ22" s="287"/>
      <c r="AK22" s="287"/>
      <c r="AL22" s="287"/>
      <c r="AM22" s="287"/>
      <c r="AN22" s="287"/>
      <c r="AO22" s="287"/>
      <c r="AP22" s="287"/>
      <c r="AQ22" s="287"/>
      <c r="AR22" s="287"/>
      <c r="AS22" s="287"/>
      <c r="AT22" s="287"/>
      <c r="AU22" s="287"/>
      <c r="AV22" s="287"/>
      <c r="AW22" s="287"/>
      <c r="AX22" s="287"/>
      <c r="AY22" s="287"/>
    </row>
    <row r="23" spans="2:51" s="475" customFormat="1" ht="45" customHeight="1">
      <c r="B23" s="287"/>
      <c r="C23" s="541"/>
      <c r="D23" s="489"/>
      <c r="E23" s="489"/>
      <c r="F23" s="489"/>
      <c r="G23" s="489"/>
      <c r="H23" s="489"/>
      <c r="I23" s="489"/>
      <c r="J23" s="489"/>
      <c r="K23" s="490"/>
      <c r="L23" s="539"/>
      <c r="M23" s="539"/>
      <c r="N23" s="539"/>
      <c r="O23" s="539"/>
      <c r="P23" s="539"/>
      <c r="Q23" s="539"/>
      <c r="R23" s="539"/>
      <c r="S23" s="539"/>
      <c r="T23" s="539"/>
      <c r="U23" s="492"/>
      <c r="V23" s="490"/>
      <c r="W23" s="492"/>
      <c r="X23" s="490"/>
      <c r="Y23" s="540"/>
      <c r="AA23" s="287"/>
      <c r="AB23" s="287"/>
      <c r="AC23" s="474"/>
      <c r="AD23" s="474"/>
      <c r="AE23" s="474"/>
      <c r="AF23" s="474"/>
      <c r="AG23" s="474"/>
      <c r="AH23" s="287"/>
      <c r="AI23" s="474"/>
      <c r="AJ23" s="287"/>
      <c r="AK23" s="287"/>
      <c r="AL23" s="287"/>
      <c r="AM23" s="287"/>
      <c r="AN23" s="287"/>
      <c r="AO23" s="287"/>
      <c r="AP23" s="287"/>
      <c r="AQ23" s="287"/>
      <c r="AR23" s="287"/>
      <c r="AS23" s="287"/>
      <c r="AT23" s="287"/>
      <c r="AU23" s="287"/>
      <c r="AV23" s="287"/>
      <c r="AW23" s="287"/>
      <c r="AX23" s="287"/>
      <c r="AY23" s="287"/>
    </row>
    <row r="24" spans="2:51" s="475" customFormat="1" ht="45" customHeight="1">
      <c r="B24" s="287"/>
      <c r="C24" s="541"/>
      <c r="D24" s="500"/>
      <c r="E24" s="500"/>
      <c r="F24" s="500"/>
      <c r="G24" s="502"/>
      <c r="H24" s="501"/>
      <c r="I24" s="489"/>
      <c r="J24" s="489"/>
      <c r="K24" s="495"/>
      <c r="L24" s="539"/>
      <c r="M24" s="539"/>
      <c r="N24" s="539"/>
      <c r="O24" s="539"/>
      <c r="P24" s="539"/>
      <c r="Q24" s="539"/>
      <c r="R24" s="539"/>
      <c r="S24" s="539"/>
      <c r="T24" s="539"/>
      <c r="U24" s="492"/>
      <c r="V24" s="496"/>
      <c r="W24" s="492"/>
      <c r="X24" s="497"/>
      <c r="Y24" s="540"/>
      <c r="AA24" s="287"/>
      <c r="AB24" s="287"/>
      <c r="AC24" s="474"/>
      <c r="AD24" s="474"/>
      <c r="AE24" s="474"/>
      <c r="AF24" s="474"/>
      <c r="AG24" s="474"/>
      <c r="AH24" s="287"/>
      <c r="AI24" s="474"/>
      <c r="AJ24" s="287"/>
      <c r="AK24" s="287"/>
      <c r="AL24" s="287"/>
      <c r="AM24" s="287"/>
      <c r="AN24" s="287"/>
      <c r="AO24" s="287"/>
      <c r="AP24" s="287"/>
      <c r="AQ24" s="287"/>
      <c r="AR24" s="287"/>
      <c r="AS24" s="287"/>
      <c r="AT24" s="287"/>
      <c r="AU24" s="287"/>
      <c r="AV24" s="287"/>
      <c r="AW24" s="287"/>
      <c r="AX24" s="287"/>
      <c r="AY24" s="287"/>
    </row>
    <row r="25" spans="2:51" s="475" customFormat="1" ht="45" customHeight="1">
      <c r="B25" s="287"/>
      <c r="C25" s="541"/>
      <c r="D25" s="489"/>
      <c r="E25" s="489"/>
      <c r="F25" s="489"/>
      <c r="G25" s="489"/>
      <c r="H25" s="489"/>
      <c r="I25" s="489"/>
      <c r="J25" s="489"/>
      <c r="K25" s="490"/>
      <c r="L25" s="539"/>
      <c r="M25" s="539"/>
      <c r="N25" s="539"/>
      <c r="O25" s="539"/>
      <c r="P25" s="539"/>
      <c r="Q25" s="539"/>
      <c r="R25" s="539"/>
      <c r="S25" s="539"/>
      <c r="T25" s="539"/>
      <c r="U25" s="492"/>
      <c r="V25" s="490"/>
      <c r="W25" s="492"/>
      <c r="X25" s="490"/>
      <c r="Y25" s="540"/>
      <c r="AA25" s="287"/>
      <c r="AB25" s="287"/>
      <c r="AC25" s="474"/>
      <c r="AD25" s="474"/>
      <c r="AE25" s="474"/>
      <c r="AF25" s="474"/>
      <c r="AG25" s="474"/>
      <c r="AH25" s="287"/>
      <c r="AI25" s="474"/>
      <c r="AJ25" s="287"/>
      <c r="AK25" s="287"/>
      <c r="AL25" s="287"/>
      <c r="AM25" s="287"/>
      <c r="AN25" s="287"/>
      <c r="AO25" s="287"/>
      <c r="AP25" s="287"/>
      <c r="AQ25" s="287"/>
      <c r="AR25" s="287"/>
      <c r="AS25" s="287"/>
      <c r="AT25" s="287"/>
      <c r="AU25" s="287"/>
      <c r="AV25" s="287"/>
      <c r="AW25" s="287"/>
      <c r="AX25" s="287"/>
      <c r="AY25" s="287"/>
    </row>
    <row r="26" spans="2:51" s="475" customFormat="1" ht="45" customHeight="1">
      <c r="B26" s="287"/>
      <c r="C26" s="541"/>
      <c r="D26" s="500"/>
      <c r="E26" s="500"/>
      <c r="F26" s="500"/>
      <c r="G26" s="500"/>
      <c r="H26" s="500"/>
      <c r="I26" s="489"/>
      <c r="J26" s="489"/>
      <c r="K26" s="495"/>
      <c r="L26" s="539"/>
      <c r="M26" s="539"/>
      <c r="N26" s="539"/>
      <c r="O26" s="539"/>
      <c r="P26" s="539"/>
      <c r="Q26" s="539"/>
      <c r="R26" s="539"/>
      <c r="S26" s="539"/>
      <c r="T26" s="539"/>
      <c r="U26" s="492"/>
      <c r="V26" s="496"/>
      <c r="W26" s="492"/>
      <c r="X26" s="497"/>
      <c r="Y26" s="540"/>
      <c r="AA26" s="287"/>
      <c r="AB26" s="287"/>
      <c r="AC26" s="474"/>
      <c r="AD26" s="474"/>
      <c r="AE26" s="474"/>
      <c r="AF26" s="474"/>
      <c r="AG26" s="474"/>
      <c r="AH26" s="287"/>
      <c r="AI26" s="474"/>
      <c r="AJ26" s="287"/>
      <c r="AK26" s="287"/>
      <c r="AL26" s="287"/>
      <c r="AM26" s="287"/>
      <c r="AN26" s="287"/>
      <c r="AO26" s="287"/>
      <c r="AP26" s="287"/>
      <c r="AQ26" s="287"/>
      <c r="AR26" s="287"/>
      <c r="AS26" s="287"/>
      <c r="AT26" s="287"/>
      <c r="AU26" s="287"/>
      <c r="AV26" s="287"/>
      <c r="AW26" s="287"/>
      <c r="AX26" s="287"/>
      <c r="AY26" s="287"/>
    </row>
  </sheetData>
  <sheetProtection algorithmName="SHA-512" hashValue="T+L8z80J6TT+lfEZbFP3knPktyD8+zeHm1LyE7xrr/GA6m3u9Jyzx98Vu3Zo/XauRM8l/xf49Iq3UMMPd1kZOw==" saltValue="E9S8BHJG3HB0HviiLnsrgA==" spinCount="100000" sheet="1" objects="1" scenarios="1"/>
  <protectedRanges>
    <protectedRange algorithmName="SHA-512" hashValue="Vg7XQXu1plkFz98tl3LY5UU83Qoso1WeBFey7DFiKNhrJ3pCoe2PEgjUZ4AJ+V7IsAPcQmQp/Mc+8dJ4axR5dg==" saltValue="ZolWhvgmqazzPhi23WvcUw==" spinCount="100000" sqref="C18 F15:H15 E16:G16" name="Indice Impermeabilidade"/>
  </protectedRanges>
  <mergeCells count="24">
    <mergeCell ref="L19:T20"/>
    <mergeCell ref="Y20:Y26"/>
    <mergeCell ref="L21:T22"/>
    <mergeCell ref="C23:C24"/>
    <mergeCell ref="L23:T24"/>
    <mergeCell ref="C25:C26"/>
    <mergeCell ref="L25:T26"/>
    <mergeCell ref="C16:D16"/>
    <mergeCell ref="C17:G20"/>
    <mergeCell ref="C4:G4"/>
    <mergeCell ref="D5:G5"/>
    <mergeCell ref="D6:G6"/>
    <mergeCell ref="D7:G7"/>
    <mergeCell ref="D8:G8"/>
    <mergeCell ref="D12:G12"/>
    <mergeCell ref="D13:G13"/>
    <mergeCell ref="D14:G14"/>
    <mergeCell ref="D15:G15"/>
    <mergeCell ref="D1:H1"/>
    <mergeCell ref="D9:G9"/>
    <mergeCell ref="D10:G10"/>
    <mergeCell ref="D11:G11"/>
    <mergeCell ref="C2:D2"/>
    <mergeCell ref="C3:D3"/>
  </mergeCells>
  <hyperlinks>
    <hyperlink ref="C5" location="'Descrições técnicas'!A1" display="Descrições técnicas "/>
    <hyperlink ref="C6" location="'Definições I.A.'!A1" display="Definições I.A."/>
    <hyperlink ref="C7" location="'0. Informação Preparatória'!A1" display="0. Informação preparatória"/>
    <hyperlink ref="C8" location="'1. Energia'!A1" display="1. Energia"/>
    <hyperlink ref="C13" location="'Diagnóstico arbóreo'!A1" display="Diagnóstico arbóreo"/>
    <hyperlink ref="C14" location="'Área arbórea conservada'!A1" display="Árvores a conservar"/>
    <hyperlink ref="C15" location="'Área arborizada'!A1" display="Área arborizada"/>
    <hyperlink ref="C9" location="'2. Biodiversidade + I. Verde'!A1" display="2. Biodiversidade + I. Verde"/>
    <hyperlink ref="C10" location="'3. Água + Drenagem Sustentáv'!A1" display="3. Água + Drenagem Sustentável"/>
    <hyperlink ref="C11" location="'4. Economia Circular + Carbono'!A1" display="4. Economia Circular + Carbono"/>
    <hyperlink ref="C12" location="'Resultado Final I.A.'!A1" display="Classificação I.A."/>
  </hyperlinks>
  <pageMargins left="0.25" right="0.25" top="0.75" bottom="0.75" header="0.3" footer="0.3"/>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
    <pageSetUpPr fitToPage="1"/>
  </sheetPr>
  <dimension ref="A1:M67"/>
  <sheetViews>
    <sheetView showGridLines="0" tabSelected="1" topLeftCell="A59" zoomScale="70" zoomScaleNormal="70" workbookViewId="0">
      <selection activeCell="F28" sqref="F28:F36"/>
    </sheetView>
  </sheetViews>
  <sheetFormatPr defaultColWidth="9.453125" defaultRowHeight="14.5"/>
  <cols>
    <col min="1" max="1" width="2.36328125" style="272" customWidth="1"/>
    <col min="2" max="2" width="1.36328125" style="272" customWidth="1"/>
    <col min="3" max="3" width="18.453125" style="2" customWidth="1"/>
    <col min="4" max="4" width="25.453125" style="2" customWidth="1"/>
    <col min="5" max="5" width="34.81640625" style="277" customWidth="1"/>
    <col min="6" max="6" width="97.7265625" style="3" customWidth="1"/>
    <col min="7" max="7" width="30.6328125" style="4" customWidth="1"/>
    <col min="8" max="8" width="68.54296875" style="4" customWidth="1"/>
    <col min="9" max="9" width="25.36328125" style="4" customWidth="1"/>
    <col min="10" max="10" width="3.453125" style="272" customWidth="1"/>
    <col min="11" max="16384" width="9.453125" style="272"/>
  </cols>
  <sheetData>
    <row r="1" spans="1:10" ht="89" customHeight="1">
      <c r="A1" s="270"/>
      <c r="B1" s="271"/>
      <c r="C1" s="444"/>
      <c r="D1" s="444"/>
      <c r="E1" s="620" t="s">
        <v>1106</v>
      </c>
      <c r="F1" s="620"/>
      <c r="G1" s="620"/>
      <c r="H1" s="620"/>
      <c r="I1" s="620"/>
    </row>
    <row r="2" spans="1:10" ht="30" customHeight="1">
      <c r="B2" s="273"/>
      <c r="C2" s="598" t="s">
        <v>1105</v>
      </c>
      <c r="D2" s="598"/>
      <c r="E2" s="598"/>
      <c r="F2" s="598"/>
      <c r="G2" s="445"/>
      <c r="H2" s="445"/>
      <c r="I2" s="446"/>
      <c r="J2" s="275"/>
    </row>
    <row r="3" spans="1:10" ht="23.5">
      <c r="B3" s="143"/>
      <c r="C3" s="445"/>
      <c r="D3" s="445"/>
      <c r="E3" s="447"/>
      <c r="F3" s="445"/>
      <c r="G3" s="445"/>
      <c r="H3" s="445"/>
      <c r="I3" s="446"/>
      <c r="J3" s="275"/>
    </row>
    <row r="4" spans="1:10" ht="15" thickBot="1">
      <c r="B4" s="274"/>
      <c r="C4" s="448"/>
      <c r="D4" s="448"/>
      <c r="E4" s="447"/>
      <c r="F4" s="449"/>
      <c r="G4" s="448"/>
      <c r="H4" s="448"/>
      <c r="I4" s="448"/>
      <c r="J4" s="275"/>
    </row>
    <row r="5" spans="1:10" ht="40" customHeight="1" thickBot="1">
      <c r="B5" s="274"/>
      <c r="C5" s="450" t="s">
        <v>0</v>
      </c>
      <c r="D5" s="451" t="s">
        <v>1264</v>
      </c>
      <c r="E5" s="451" t="s">
        <v>1116</v>
      </c>
      <c r="F5" s="451" t="s">
        <v>1117</v>
      </c>
      <c r="G5" s="452" t="s">
        <v>2</v>
      </c>
      <c r="H5" s="452" t="s">
        <v>1269</v>
      </c>
      <c r="I5" s="452" t="s">
        <v>1261</v>
      </c>
      <c r="J5" s="275"/>
    </row>
    <row r="6" spans="1:10" ht="35" customHeight="1">
      <c r="B6" s="274"/>
      <c r="C6" s="611" t="s">
        <v>75</v>
      </c>
      <c r="D6" s="608" t="s">
        <v>1330</v>
      </c>
      <c r="E6" s="560" t="s">
        <v>1428</v>
      </c>
      <c r="F6" s="578" t="s">
        <v>1263</v>
      </c>
      <c r="G6" s="575" t="s">
        <v>1260</v>
      </c>
      <c r="H6" s="453" t="s">
        <v>1258</v>
      </c>
      <c r="I6" s="621" t="s">
        <v>1262</v>
      </c>
      <c r="J6" s="275"/>
    </row>
    <row r="7" spans="1:10" ht="35" customHeight="1" thickBot="1">
      <c r="B7" s="274"/>
      <c r="C7" s="612"/>
      <c r="D7" s="609"/>
      <c r="E7" s="561"/>
      <c r="F7" s="594"/>
      <c r="G7" s="577"/>
      <c r="H7" s="454" t="s">
        <v>1259</v>
      </c>
      <c r="I7" s="622"/>
      <c r="J7" s="275"/>
    </row>
    <row r="8" spans="1:10" ht="35" customHeight="1">
      <c r="B8" s="274"/>
      <c r="C8" s="612"/>
      <c r="D8" s="609"/>
      <c r="E8" s="560" t="s">
        <v>1429</v>
      </c>
      <c r="F8" s="578" t="s">
        <v>1265</v>
      </c>
      <c r="G8" s="575" t="s">
        <v>1266</v>
      </c>
      <c r="H8" s="453" t="s">
        <v>1267</v>
      </c>
      <c r="I8" s="622"/>
      <c r="J8" s="275"/>
    </row>
    <row r="9" spans="1:10" ht="35" customHeight="1" thickBot="1">
      <c r="B9" s="274"/>
      <c r="C9" s="612"/>
      <c r="D9" s="609"/>
      <c r="E9" s="561"/>
      <c r="F9" s="594"/>
      <c r="G9" s="577"/>
      <c r="H9" s="454" t="s">
        <v>1268</v>
      </c>
      <c r="I9" s="622"/>
    </row>
    <row r="10" spans="1:10" ht="35" customHeight="1">
      <c r="B10" s="274"/>
      <c r="C10" s="612"/>
      <c r="D10" s="609"/>
      <c r="E10" s="560" t="s">
        <v>1430</v>
      </c>
      <c r="F10" s="578" t="s">
        <v>1270</v>
      </c>
      <c r="G10" s="575" t="s">
        <v>1271</v>
      </c>
      <c r="H10" s="453" t="s">
        <v>1272</v>
      </c>
      <c r="I10" s="622"/>
    </row>
    <row r="11" spans="1:10" ht="35" customHeight="1">
      <c r="B11" s="274"/>
      <c r="C11" s="612"/>
      <c r="D11" s="609"/>
      <c r="E11" s="563"/>
      <c r="F11" s="579"/>
      <c r="G11" s="576"/>
      <c r="H11" s="455" t="s">
        <v>1273</v>
      </c>
      <c r="I11" s="622"/>
    </row>
    <row r="12" spans="1:10" ht="35" customHeight="1" thickBot="1">
      <c r="B12" s="274"/>
      <c r="C12" s="612"/>
      <c r="D12" s="609"/>
      <c r="E12" s="561"/>
      <c r="F12" s="594"/>
      <c r="G12" s="577"/>
      <c r="H12" s="454" t="s">
        <v>1274</v>
      </c>
      <c r="I12" s="622"/>
    </row>
    <row r="13" spans="1:10" ht="35" customHeight="1">
      <c r="B13" s="274"/>
      <c r="C13" s="612"/>
      <c r="D13" s="609"/>
      <c r="E13" s="560" t="s">
        <v>1431</v>
      </c>
      <c r="F13" s="578" t="s">
        <v>1275</v>
      </c>
      <c r="G13" s="575" t="s">
        <v>247</v>
      </c>
      <c r="H13" s="453" t="s">
        <v>1277</v>
      </c>
      <c r="I13" s="622"/>
    </row>
    <row r="14" spans="1:10" ht="35" customHeight="1">
      <c r="B14" s="274"/>
      <c r="C14" s="612"/>
      <c r="D14" s="609"/>
      <c r="E14" s="563"/>
      <c r="F14" s="579"/>
      <c r="G14" s="576"/>
      <c r="H14" s="455" t="s">
        <v>1278</v>
      </c>
      <c r="I14" s="622"/>
    </row>
    <row r="15" spans="1:10" ht="35" customHeight="1" thickBot="1">
      <c r="B15" s="274"/>
      <c r="C15" s="612"/>
      <c r="D15" s="609"/>
      <c r="E15" s="561"/>
      <c r="F15" s="594"/>
      <c r="G15" s="577"/>
      <c r="H15" s="454" t="s">
        <v>1279</v>
      </c>
      <c r="I15" s="622"/>
    </row>
    <row r="16" spans="1:10" ht="35" customHeight="1">
      <c r="B16" s="274"/>
      <c r="C16" s="612"/>
      <c r="D16" s="609"/>
      <c r="E16" s="560" t="s">
        <v>1432</v>
      </c>
      <c r="F16" s="578" t="s">
        <v>1276</v>
      </c>
      <c r="G16" s="575" t="s">
        <v>250</v>
      </c>
      <c r="H16" s="453" t="s">
        <v>1280</v>
      </c>
      <c r="I16" s="622"/>
    </row>
    <row r="17" spans="2:13" ht="35" customHeight="1">
      <c r="B17" s="274"/>
      <c r="C17" s="612"/>
      <c r="D17" s="609"/>
      <c r="E17" s="563"/>
      <c r="F17" s="579"/>
      <c r="G17" s="576"/>
      <c r="H17" s="455" t="s">
        <v>1281</v>
      </c>
      <c r="I17" s="622"/>
    </row>
    <row r="18" spans="2:13" ht="35" customHeight="1" thickBot="1">
      <c r="B18" s="274"/>
      <c r="C18" s="612"/>
      <c r="D18" s="609"/>
      <c r="E18" s="561"/>
      <c r="F18" s="594"/>
      <c r="G18" s="577"/>
      <c r="H18" s="454" t="s">
        <v>1282</v>
      </c>
      <c r="I18" s="622"/>
    </row>
    <row r="19" spans="2:13" ht="35" customHeight="1">
      <c r="B19" s="274"/>
      <c r="C19" s="612"/>
      <c r="D19" s="609"/>
      <c r="E19" s="560" t="s">
        <v>1433</v>
      </c>
      <c r="F19" s="549" t="s">
        <v>1285</v>
      </c>
      <c r="G19" s="575" t="s">
        <v>242</v>
      </c>
      <c r="H19" s="453" t="s">
        <v>1283</v>
      </c>
      <c r="I19" s="622"/>
    </row>
    <row r="20" spans="2:13" ht="35" customHeight="1" thickBot="1">
      <c r="B20" s="274"/>
      <c r="C20" s="613"/>
      <c r="D20" s="610"/>
      <c r="E20" s="561"/>
      <c r="F20" s="550"/>
      <c r="G20" s="577"/>
      <c r="H20" s="454" t="s">
        <v>1284</v>
      </c>
      <c r="I20" s="623"/>
    </row>
    <row r="21" spans="2:13" ht="40" customHeight="1" thickBot="1">
      <c r="B21" s="274"/>
      <c r="C21" s="450" t="s">
        <v>0</v>
      </c>
      <c r="D21" s="451" t="s">
        <v>1264</v>
      </c>
      <c r="E21" s="451" t="s">
        <v>1116</v>
      </c>
      <c r="F21" s="451" t="s">
        <v>24</v>
      </c>
      <c r="G21" s="452" t="s">
        <v>2</v>
      </c>
      <c r="H21" s="452" t="s">
        <v>1269</v>
      </c>
      <c r="I21" s="452" t="s">
        <v>1312</v>
      </c>
    </row>
    <row r="22" spans="2:13" ht="56.5" customHeight="1">
      <c r="B22" s="274"/>
      <c r="C22" s="599" t="s">
        <v>1286</v>
      </c>
      <c r="D22" s="595" t="s">
        <v>1443</v>
      </c>
      <c r="E22" s="560" t="s">
        <v>1434</v>
      </c>
      <c r="F22" s="578" t="s">
        <v>1444</v>
      </c>
      <c r="G22" s="625" t="s">
        <v>1372</v>
      </c>
      <c r="H22" s="456" t="s">
        <v>1287</v>
      </c>
      <c r="I22" s="569" t="s">
        <v>1290</v>
      </c>
    </row>
    <row r="23" spans="2:13" ht="56.5" customHeight="1">
      <c r="B23" s="274"/>
      <c r="C23" s="600"/>
      <c r="D23" s="596"/>
      <c r="E23" s="563"/>
      <c r="F23" s="579"/>
      <c r="G23" s="626"/>
      <c r="H23" s="457" t="s">
        <v>1288</v>
      </c>
      <c r="I23" s="570"/>
      <c r="L23" s="276"/>
    </row>
    <row r="24" spans="2:13" ht="56.5" customHeight="1" thickBot="1">
      <c r="B24" s="274"/>
      <c r="C24" s="600"/>
      <c r="D24" s="596"/>
      <c r="E24" s="561"/>
      <c r="F24" s="594"/>
      <c r="G24" s="627"/>
      <c r="H24" s="458" t="s">
        <v>1289</v>
      </c>
      <c r="I24" s="571"/>
    </row>
    <row r="25" spans="2:13" ht="70.5" customHeight="1">
      <c r="B25" s="274"/>
      <c r="C25" s="600"/>
      <c r="D25" s="628"/>
      <c r="E25" s="560" t="s">
        <v>1435</v>
      </c>
      <c r="F25" s="578" t="s">
        <v>1294</v>
      </c>
      <c r="G25" s="625" t="s">
        <v>1371</v>
      </c>
      <c r="H25" s="456" t="s">
        <v>1291</v>
      </c>
      <c r="I25" s="569" t="s">
        <v>1290</v>
      </c>
    </row>
    <row r="26" spans="2:13" ht="70.5" customHeight="1">
      <c r="B26" s="274"/>
      <c r="C26" s="600"/>
      <c r="D26" s="628"/>
      <c r="E26" s="563"/>
      <c r="F26" s="579"/>
      <c r="G26" s="626"/>
      <c r="H26" s="457" t="s">
        <v>1292</v>
      </c>
      <c r="I26" s="570"/>
      <c r="M26" s="276"/>
    </row>
    <row r="27" spans="2:13" ht="70.5" customHeight="1" thickBot="1">
      <c r="B27" s="274"/>
      <c r="C27" s="600"/>
      <c r="D27" s="628"/>
      <c r="E27" s="614"/>
      <c r="F27" s="580"/>
      <c r="G27" s="629"/>
      <c r="H27" s="459" t="s">
        <v>1293</v>
      </c>
      <c r="I27" s="624"/>
    </row>
    <row r="28" spans="2:13" ht="39.5" customHeight="1">
      <c r="B28" s="274"/>
      <c r="C28" s="600"/>
      <c r="D28" s="596"/>
      <c r="E28" s="566" t="s">
        <v>1436</v>
      </c>
      <c r="F28" s="601" t="s">
        <v>1437</v>
      </c>
      <c r="G28" s="632"/>
      <c r="H28" s="456" t="s">
        <v>1298</v>
      </c>
      <c r="I28" s="585" t="s">
        <v>1313</v>
      </c>
    </row>
    <row r="29" spans="2:13" ht="39.5" customHeight="1">
      <c r="B29" s="274"/>
      <c r="C29" s="600"/>
      <c r="D29" s="596"/>
      <c r="E29" s="567"/>
      <c r="F29" s="602"/>
      <c r="G29" s="633"/>
      <c r="H29" s="457" t="s">
        <v>1299</v>
      </c>
      <c r="I29" s="586"/>
    </row>
    <row r="30" spans="2:13" ht="39.5" customHeight="1">
      <c r="B30" s="274"/>
      <c r="C30" s="600"/>
      <c r="D30" s="596"/>
      <c r="E30" s="567"/>
      <c r="F30" s="602"/>
      <c r="G30" s="634" t="s">
        <v>1368</v>
      </c>
      <c r="H30" s="457" t="s">
        <v>1300</v>
      </c>
      <c r="I30" s="586"/>
    </row>
    <row r="31" spans="2:13" ht="39.5" customHeight="1">
      <c r="B31" s="274"/>
      <c r="C31" s="600"/>
      <c r="D31" s="596"/>
      <c r="E31" s="567"/>
      <c r="F31" s="602"/>
      <c r="G31" s="635"/>
      <c r="H31" s="457" t="s">
        <v>1301</v>
      </c>
      <c r="I31" s="586"/>
    </row>
    <row r="32" spans="2:13" ht="39.5" customHeight="1">
      <c r="B32" s="274"/>
      <c r="C32" s="600"/>
      <c r="D32" s="596"/>
      <c r="E32" s="567"/>
      <c r="F32" s="602"/>
      <c r="G32" s="634" t="s">
        <v>1369</v>
      </c>
      <c r="H32" s="457" t="s">
        <v>1302</v>
      </c>
      <c r="I32" s="586"/>
    </row>
    <row r="33" spans="2:9" ht="39.5" customHeight="1">
      <c r="B33" s="274"/>
      <c r="C33" s="600"/>
      <c r="D33" s="596"/>
      <c r="E33" s="567"/>
      <c r="F33" s="602"/>
      <c r="G33" s="635"/>
      <c r="H33" s="457" t="s">
        <v>1303</v>
      </c>
      <c r="I33" s="586"/>
    </row>
    <row r="34" spans="2:9" ht="39.5" customHeight="1">
      <c r="B34" s="274"/>
      <c r="C34" s="600"/>
      <c r="D34" s="596"/>
      <c r="E34" s="567"/>
      <c r="F34" s="602"/>
      <c r="G34" s="634" t="s">
        <v>1370</v>
      </c>
      <c r="H34" s="457" t="s">
        <v>1304</v>
      </c>
      <c r="I34" s="586"/>
    </row>
    <row r="35" spans="2:9" ht="39.5" customHeight="1">
      <c r="B35" s="274"/>
      <c r="C35" s="600"/>
      <c r="D35" s="596"/>
      <c r="E35" s="567"/>
      <c r="F35" s="602"/>
      <c r="G35" s="636"/>
      <c r="H35" s="457" t="s">
        <v>1305</v>
      </c>
      <c r="I35" s="586"/>
    </row>
    <row r="36" spans="2:9" ht="39.5" customHeight="1" thickBot="1">
      <c r="B36" s="274"/>
      <c r="C36" s="600"/>
      <c r="D36" s="596"/>
      <c r="E36" s="567"/>
      <c r="F36" s="602"/>
      <c r="G36" s="636"/>
      <c r="H36" s="460" t="s">
        <v>1306</v>
      </c>
      <c r="I36" s="586"/>
    </row>
    <row r="37" spans="2:9" ht="97.5" customHeight="1">
      <c r="B37" s="274"/>
      <c r="C37" s="600"/>
      <c r="D37" s="596"/>
      <c r="E37" s="560" t="s">
        <v>1473</v>
      </c>
      <c r="F37" s="618" t="s">
        <v>1438</v>
      </c>
      <c r="G37" s="564"/>
      <c r="H37" s="456" t="s">
        <v>1307</v>
      </c>
      <c r="I37" s="587" t="s">
        <v>219</v>
      </c>
    </row>
    <row r="38" spans="2:9" ht="97.5" customHeight="1" thickBot="1">
      <c r="B38" s="274"/>
      <c r="C38" s="600"/>
      <c r="D38" s="596"/>
      <c r="E38" s="614"/>
      <c r="F38" s="619"/>
      <c r="G38" s="637"/>
      <c r="H38" s="459" t="s">
        <v>1308</v>
      </c>
      <c r="I38" s="588"/>
    </row>
    <row r="39" spans="2:9" ht="42.5" thickBot="1">
      <c r="B39" s="274"/>
      <c r="C39" s="450" t="s">
        <v>0</v>
      </c>
      <c r="D39" s="451" t="s">
        <v>1264</v>
      </c>
      <c r="E39" s="461" t="s">
        <v>1116</v>
      </c>
      <c r="F39" s="461" t="s">
        <v>1117</v>
      </c>
      <c r="G39" s="461" t="s">
        <v>1</v>
      </c>
      <c r="H39" s="461" t="s">
        <v>1269</v>
      </c>
      <c r="I39" s="461" t="s">
        <v>1312</v>
      </c>
    </row>
    <row r="40" spans="2:9" ht="96.5" customHeight="1">
      <c r="B40" s="274"/>
      <c r="C40" s="615" t="s">
        <v>223</v>
      </c>
      <c r="D40" s="591"/>
      <c r="E40" s="560" t="s">
        <v>1439</v>
      </c>
      <c r="F40" s="578" t="s">
        <v>1445</v>
      </c>
      <c r="G40" s="589"/>
      <c r="H40" s="456" t="s">
        <v>1315</v>
      </c>
      <c r="I40" s="630" t="s">
        <v>1375</v>
      </c>
    </row>
    <row r="41" spans="2:9" ht="96.5" customHeight="1" thickBot="1">
      <c r="B41" s="274"/>
      <c r="C41" s="616"/>
      <c r="D41" s="592"/>
      <c r="E41" s="614"/>
      <c r="F41" s="580"/>
      <c r="G41" s="590"/>
      <c r="H41" s="459" t="s">
        <v>1314</v>
      </c>
      <c r="I41" s="631"/>
    </row>
    <row r="42" spans="2:9" ht="63.5" customHeight="1">
      <c r="B42" s="274"/>
      <c r="C42" s="616"/>
      <c r="D42" s="592"/>
      <c r="E42" s="560" t="s">
        <v>1440</v>
      </c>
      <c r="F42" s="578" t="s">
        <v>1446</v>
      </c>
      <c r="G42" s="581"/>
      <c r="H42" s="456" t="s">
        <v>1359</v>
      </c>
      <c r="I42" s="569" t="s">
        <v>1365</v>
      </c>
    </row>
    <row r="43" spans="2:9" ht="63.5" customHeight="1">
      <c r="B43" s="274"/>
      <c r="C43" s="616"/>
      <c r="D43" s="592"/>
      <c r="E43" s="563"/>
      <c r="F43" s="579"/>
      <c r="G43" s="582"/>
      <c r="H43" s="457" t="s">
        <v>1360</v>
      </c>
      <c r="I43" s="570"/>
    </row>
    <row r="44" spans="2:9" ht="63.5" customHeight="1">
      <c r="B44" s="274"/>
      <c r="C44" s="616"/>
      <c r="D44" s="592"/>
      <c r="E44" s="563"/>
      <c r="F44" s="579"/>
      <c r="G44" s="583" t="s">
        <v>1366</v>
      </c>
      <c r="H44" s="457" t="s">
        <v>1361</v>
      </c>
      <c r="I44" s="570"/>
    </row>
    <row r="45" spans="2:9" ht="63.5" customHeight="1">
      <c r="B45" s="274"/>
      <c r="C45" s="616"/>
      <c r="D45" s="592"/>
      <c r="E45" s="563"/>
      <c r="F45" s="579"/>
      <c r="G45" s="583"/>
      <c r="H45" s="462" t="s">
        <v>1362</v>
      </c>
      <c r="I45" s="570"/>
    </row>
    <row r="46" spans="2:9" ht="63.5" customHeight="1">
      <c r="B46" s="274"/>
      <c r="C46" s="616"/>
      <c r="D46" s="592"/>
      <c r="E46" s="563"/>
      <c r="F46" s="579"/>
      <c r="G46" s="583" t="s">
        <v>1367</v>
      </c>
      <c r="H46" s="457" t="s">
        <v>1363</v>
      </c>
      <c r="I46" s="570"/>
    </row>
    <row r="47" spans="2:9" ht="63.5" customHeight="1" thickBot="1">
      <c r="B47" s="274"/>
      <c r="C47" s="616"/>
      <c r="D47" s="592"/>
      <c r="E47" s="561"/>
      <c r="F47" s="594"/>
      <c r="G47" s="584"/>
      <c r="H47" s="458" t="s">
        <v>1364</v>
      </c>
      <c r="I47" s="571"/>
    </row>
    <row r="48" spans="2:9" ht="291.5" customHeight="1" thickBot="1">
      <c r="B48" s="274"/>
      <c r="C48" s="617"/>
      <c r="D48" s="593"/>
      <c r="E48" s="463" t="s">
        <v>1448</v>
      </c>
      <c r="F48" s="464" t="s">
        <v>1447</v>
      </c>
      <c r="G48" s="544" t="s">
        <v>1475</v>
      </c>
      <c r="H48" s="545"/>
      <c r="I48" s="546"/>
    </row>
    <row r="49" spans="2:9" ht="42.5" thickBot="1">
      <c r="B49" s="274"/>
      <c r="C49" s="450" t="s">
        <v>0</v>
      </c>
      <c r="D49" s="451" t="s">
        <v>1264</v>
      </c>
      <c r="E49" s="461" t="s">
        <v>1116</v>
      </c>
      <c r="F49" s="461" t="s">
        <v>1117</v>
      </c>
      <c r="G49" s="461" t="s">
        <v>1</v>
      </c>
      <c r="H49" s="461" t="s">
        <v>1269</v>
      </c>
      <c r="I49" s="461" t="s">
        <v>1312</v>
      </c>
    </row>
    <row r="50" spans="2:9" ht="109.5" customHeight="1">
      <c r="B50" s="274"/>
      <c r="C50" s="603" t="s">
        <v>233</v>
      </c>
      <c r="D50" s="595" t="s">
        <v>1426</v>
      </c>
      <c r="E50" s="566" t="s">
        <v>1449</v>
      </c>
      <c r="F50" s="554" t="s">
        <v>1450</v>
      </c>
      <c r="G50" s="557"/>
      <c r="H50" s="465" t="s">
        <v>1463</v>
      </c>
      <c r="I50" s="551" t="s">
        <v>1427</v>
      </c>
    </row>
    <row r="51" spans="2:9" ht="109.5" customHeight="1">
      <c r="B51" s="274"/>
      <c r="C51" s="604"/>
      <c r="D51" s="596"/>
      <c r="E51" s="567"/>
      <c r="F51" s="555"/>
      <c r="G51" s="558"/>
      <c r="H51" s="466" t="s">
        <v>1464</v>
      </c>
      <c r="I51" s="552"/>
    </row>
    <row r="52" spans="2:9" ht="109.5" customHeight="1">
      <c r="B52" s="274"/>
      <c r="C52" s="604"/>
      <c r="D52" s="596"/>
      <c r="E52" s="567"/>
      <c r="F52" s="555"/>
      <c r="G52" s="558"/>
      <c r="H52" s="466" t="s">
        <v>1465</v>
      </c>
      <c r="I52" s="552"/>
    </row>
    <row r="53" spans="2:9" ht="109.5" customHeight="1" thickBot="1">
      <c r="B53" s="274"/>
      <c r="C53" s="604"/>
      <c r="D53" s="596"/>
      <c r="E53" s="568"/>
      <c r="F53" s="556"/>
      <c r="G53" s="559"/>
      <c r="H53" s="467" t="s">
        <v>1466</v>
      </c>
      <c r="I53" s="553"/>
    </row>
    <row r="54" spans="2:9" ht="405" customHeight="1">
      <c r="B54" s="274"/>
      <c r="C54" s="604"/>
      <c r="D54" s="596"/>
      <c r="E54" s="560" t="s">
        <v>1451</v>
      </c>
      <c r="F54" s="549" t="s">
        <v>1460</v>
      </c>
      <c r="G54" s="564"/>
      <c r="H54" s="465" t="s">
        <v>1467</v>
      </c>
      <c r="I54" s="569" t="s">
        <v>1255</v>
      </c>
    </row>
    <row r="55" spans="2:9" ht="130" customHeight="1">
      <c r="B55" s="274"/>
      <c r="C55" s="604"/>
      <c r="D55" s="596"/>
      <c r="E55" s="563"/>
      <c r="F55" s="562"/>
      <c r="G55" s="565"/>
      <c r="H55" s="468" t="s">
        <v>1468</v>
      </c>
      <c r="I55" s="570"/>
    </row>
    <row r="56" spans="2:9" ht="392.5" customHeight="1">
      <c r="B56" s="274"/>
      <c r="C56" s="604"/>
      <c r="D56" s="596"/>
      <c r="E56" s="563"/>
      <c r="F56" s="562"/>
      <c r="G56" s="565"/>
      <c r="H56" s="469" t="s">
        <v>1469</v>
      </c>
      <c r="I56" s="570"/>
    </row>
    <row r="57" spans="2:9" ht="65.5" customHeight="1">
      <c r="B57" s="274"/>
      <c r="C57" s="604"/>
      <c r="D57" s="596"/>
      <c r="E57" s="563"/>
      <c r="F57" s="562"/>
      <c r="G57" s="572" t="s">
        <v>1452</v>
      </c>
      <c r="H57" s="470" t="s">
        <v>1470</v>
      </c>
      <c r="I57" s="570"/>
    </row>
    <row r="58" spans="2:9" ht="61" customHeight="1">
      <c r="B58" s="274"/>
      <c r="C58" s="604"/>
      <c r="D58" s="596"/>
      <c r="E58" s="563"/>
      <c r="F58" s="562"/>
      <c r="G58" s="573"/>
      <c r="H58" s="470" t="s">
        <v>1471</v>
      </c>
      <c r="I58" s="570"/>
    </row>
    <row r="59" spans="2:9" ht="76" customHeight="1" thickBot="1">
      <c r="B59" s="274"/>
      <c r="C59" s="605"/>
      <c r="D59" s="596"/>
      <c r="E59" s="561"/>
      <c r="F59" s="550"/>
      <c r="G59" s="574"/>
      <c r="H59" s="471" t="s">
        <v>1472</v>
      </c>
      <c r="I59" s="571"/>
    </row>
    <row r="60" spans="2:9" ht="90.5" customHeight="1">
      <c r="B60" s="274"/>
      <c r="C60" s="605"/>
      <c r="D60" s="596"/>
      <c r="E60" s="560" t="s">
        <v>1441</v>
      </c>
      <c r="F60" s="549" t="s">
        <v>1461</v>
      </c>
      <c r="G60" s="547" t="s">
        <v>1453</v>
      </c>
      <c r="H60" s="456" t="s">
        <v>1454</v>
      </c>
      <c r="I60" s="542" t="s">
        <v>1459</v>
      </c>
    </row>
    <row r="61" spans="2:9" ht="90.5" customHeight="1" thickBot="1">
      <c r="B61" s="274"/>
      <c r="C61" s="605"/>
      <c r="D61" s="596"/>
      <c r="E61" s="561"/>
      <c r="F61" s="550"/>
      <c r="G61" s="548"/>
      <c r="H61" s="458" t="s">
        <v>1455</v>
      </c>
      <c r="I61" s="543"/>
    </row>
    <row r="62" spans="2:9" ht="87.5" customHeight="1">
      <c r="B62" s="274"/>
      <c r="C62" s="606"/>
      <c r="D62" s="596"/>
      <c r="E62" s="560" t="s">
        <v>1442</v>
      </c>
      <c r="F62" s="549" t="s">
        <v>1462</v>
      </c>
      <c r="G62" s="547" t="s">
        <v>1456</v>
      </c>
      <c r="H62" s="456" t="s">
        <v>1457</v>
      </c>
      <c r="I62" s="542" t="s">
        <v>1459</v>
      </c>
    </row>
    <row r="63" spans="2:9" ht="87.5" customHeight="1" thickBot="1">
      <c r="B63" s="274"/>
      <c r="C63" s="607"/>
      <c r="D63" s="597"/>
      <c r="E63" s="561"/>
      <c r="F63" s="550"/>
      <c r="G63" s="548"/>
      <c r="H63" s="458" t="s">
        <v>1458</v>
      </c>
      <c r="I63" s="543"/>
    </row>
    <row r="64" spans="2:9">
      <c r="B64" s="274"/>
      <c r="C64" s="6"/>
      <c r="D64" s="6"/>
      <c r="E64" s="278"/>
      <c r="F64" s="274"/>
      <c r="G64" s="7"/>
      <c r="H64" s="7"/>
      <c r="I64" s="7"/>
    </row>
    <row r="65" spans="6:6">
      <c r="F65" s="272"/>
    </row>
    <row r="66" spans="6:6">
      <c r="F66" s="272"/>
    </row>
    <row r="67" spans="6:6">
      <c r="F67" s="272"/>
    </row>
  </sheetData>
  <sheetProtection algorithmName="SHA-512" hashValue="gnT6CS2AHozJWA3iahB8FtTXmPq/wPf4cWN1//30vRwQ2fQmG6pV/ruZr4pd+6aMX/nFbeb0QgNdUPb3haj4dg==" saltValue="8cG2OuYT+iOAAlXYJfPSFA==" spinCount="100000" sheet="1" objects="1" scenarios="1"/>
  <mergeCells count="76">
    <mergeCell ref="F40:F41"/>
    <mergeCell ref="E40:E41"/>
    <mergeCell ref="I40:I41"/>
    <mergeCell ref="G28:G29"/>
    <mergeCell ref="G30:G31"/>
    <mergeCell ref="G32:G33"/>
    <mergeCell ref="G34:G36"/>
    <mergeCell ref="G37:G38"/>
    <mergeCell ref="F6:F7"/>
    <mergeCell ref="E6:E7"/>
    <mergeCell ref="G8:G9"/>
    <mergeCell ref="D22:D38"/>
    <mergeCell ref="G25:G27"/>
    <mergeCell ref="C40:C48"/>
    <mergeCell ref="F37:F38"/>
    <mergeCell ref="E37:E38"/>
    <mergeCell ref="E1:I1"/>
    <mergeCell ref="I6:I20"/>
    <mergeCell ref="I22:I24"/>
    <mergeCell ref="I25:I27"/>
    <mergeCell ref="F16:F18"/>
    <mergeCell ref="G16:G18"/>
    <mergeCell ref="E19:E20"/>
    <mergeCell ref="F19:F20"/>
    <mergeCell ref="G19:G20"/>
    <mergeCell ref="E22:E24"/>
    <mergeCell ref="F22:F24"/>
    <mergeCell ref="G22:G24"/>
    <mergeCell ref="G6:G7"/>
    <mergeCell ref="D40:D48"/>
    <mergeCell ref="E42:E47"/>
    <mergeCell ref="F42:F47"/>
    <mergeCell ref="D50:D63"/>
    <mergeCell ref="C2:F2"/>
    <mergeCell ref="C22:C38"/>
    <mergeCell ref="F28:F36"/>
    <mergeCell ref="E28:E36"/>
    <mergeCell ref="C50:C63"/>
    <mergeCell ref="D6:D20"/>
    <mergeCell ref="C6:C20"/>
    <mergeCell ref="F8:F9"/>
    <mergeCell ref="E13:E15"/>
    <mergeCell ref="F13:F15"/>
    <mergeCell ref="F10:F12"/>
    <mergeCell ref="E25:E27"/>
    <mergeCell ref="E50:E53"/>
    <mergeCell ref="I54:I59"/>
    <mergeCell ref="G57:G59"/>
    <mergeCell ref="E8:E9"/>
    <mergeCell ref="E10:E12"/>
    <mergeCell ref="G13:G15"/>
    <mergeCell ref="G10:G12"/>
    <mergeCell ref="F25:F27"/>
    <mergeCell ref="E16:E18"/>
    <mergeCell ref="I42:I47"/>
    <mergeCell ref="G42:G43"/>
    <mergeCell ref="G44:G45"/>
    <mergeCell ref="G46:G47"/>
    <mergeCell ref="I28:I36"/>
    <mergeCell ref="I37:I38"/>
    <mergeCell ref="G40:G41"/>
    <mergeCell ref="E60:E61"/>
    <mergeCell ref="F62:F63"/>
    <mergeCell ref="E62:E63"/>
    <mergeCell ref="G62:G63"/>
    <mergeCell ref="F54:F59"/>
    <mergeCell ref="E54:E59"/>
    <mergeCell ref="G54:G56"/>
    <mergeCell ref="I60:I61"/>
    <mergeCell ref="I62:I63"/>
    <mergeCell ref="G48:I48"/>
    <mergeCell ref="G60:G61"/>
    <mergeCell ref="F60:F61"/>
    <mergeCell ref="I50:I53"/>
    <mergeCell ref="F50:F53"/>
    <mergeCell ref="G50:G53"/>
  </mergeCells>
  <dataValidations count="7">
    <dataValidation allowBlank="1" showErrorMessage="1" sqref="F22 F19 F6 F8 F10 F13"/>
    <dataValidation allowBlank="1" showErrorMessage="1" prompt="Utilização de pelo menos 20 % de materiais reciclados ou que incorporem materiais reciclados relativamente à quantidade total de materiais/produtos usados em obra." sqref="F54"/>
    <dataValidation allowBlank="1" showErrorMessage="1" prompt="Utilização de pelo menos 30% de materiais/produtos certificados com o rótulo ambiental do tipo I - ISO 14024:2018 relativamente à quantidade total de materiais/produtos usados em obra." sqref="F50:F52"/>
    <dataValidation allowBlank="1" showErrorMessage="1" prompt="Introdução, em todo o edifício, de equipamentos hidricamente eficientes (ex: torneiras/chuveiros de muito baixo fluxo, sanitários de elevada eficiência hidráulica, etc.)" sqref="F48"/>
    <dataValidation allowBlank="1" showErrorMessage="1" prompt="Introdução de uma depressão, usualmente com cobertura herbácea, onde as águas pluviais possam ser armazenadas. A água aí retida pode ser drenada por infiltração ou conduzida para a rede de drenagem." sqref="F42"/>
    <dataValidation allowBlank="1" showErrorMessage="1" prompt="Introdução de superfícies permeáveis ao ar e à água, que permitam a infiltração da água da chuva." sqref="F40"/>
    <dataValidation allowBlank="1" showErrorMessage="1" prompt="Introdução de equipamentos de compostagem coletiva no exterior do edifício (dimensão mínima de 1m3). " sqref="F62 F60"/>
  </dataValidations>
  <pageMargins left="0.25" right="0.25" top="0.75" bottom="0.75" header="0.3" footer="0.3"/>
  <pageSetup paperSize="9" scale="44"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dimension ref="A1:V83"/>
  <sheetViews>
    <sheetView zoomScale="115" zoomScaleNormal="115" workbookViewId="0">
      <selection activeCell="E1" sqref="E1:H1"/>
    </sheetView>
  </sheetViews>
  <sheetFormatPr defaultRowHeight="14.5"/>
  <cols>
    <col min="1" max="1" width="2.90625" customWidth="1"/>
    <col min="2" max="2" width="2.6328125" style="133" customWidth="1"/>
    <col min="3" max="3" width="12.90625" bestFit="1" customWidth="1"/>
    <col min="4" max="4" width="15.453125" style="14" customWidth="1"/>
    <col min="5" max="5" width="13.1796875" style="14" bestFit="1" customWidth="1"/>
    <col min="6" max="6" width="30.7265625" style="13" customWidth="1"/>
    <col min="7" max="7" width="59.453125" style="13" customWidth="1"/>
    <col min="8" max="8" width="23.26953125" style="114" customWidth="1"/>
    <col min="9" max="9" width="2.6328125" customWidth="1"/>
  </cols>
  <sheetData>
    <row r="1" spans="1:22" s="133" customFormat="1" ht="86" customHeight="1">
      <c r="A1" s="174"/>
      <c r="B1" s="174"/>
      <c r="C1" s="287"/>
      <c r="D1" s="288"/>
      <c r="E1" s="517" t="s">
        <v>1106</v>
      </c>
      <c r="F1" s="517"/>
      <c r="G1" s="517"/>
      <c r="H1" s="517"/>
      <c r="I1" s="401"/>
      <c r="J1" s="173"/>
    </row>
    <row r="2" spans="1:22" ht="14.5" customHeight="1">
      <c r="A2" s="133"/>
      <c r="B2" s="5"/>
      <c r="C2" s="638" t="s">
        <v>1032</v>
      </c>
      <c r="D2" s="638"/>
      <c r="E2" s="638"/>
      <c r="F2" s="638"/>
      <c r="G2" s="402"/>
      <c r="H2" s="403"/>
      <c r="I2" s="404"/>
    </row>
    <row r="3" spans="1:22" ht="14.5" customHeight="1">
      <c r="A3" s="133"/>
      <c r="B3" s="5"/>
      <c r="C3" s="638"/>
      <c r="D3" s="638"/>
      <c r="E3" s="638"/>
      <c r="F3" s="638"/>
      <c r="G3" s="402"/>
      <c r="H3" s="403"/>
      <c r="I3" s="404"/>
    </row>
    <row r="4" spans="1:22" ht="15" thickBot="1">
      <c r="A4" s="133"/>
      <c r="B4" s="5"/>
      <c r="C4" s="404"/>
      <c r="D4" s="405"/>
      <c r="E4" s="405"/>
      <c r="F4" s="402"/>
      <c r="G4" s="402"/>
      <c r="H4" s="403"/>
      <c r="I4" s="404"/>
    </row>
    <row r="5" spans="1:22" ht="16" thickBot="1">
      <c r="A5" s="133"/>
      <c r="B5" s="5"/>
      <c r="C5" s="406" t="s">
        <v>0</v>
      </c>
      <c r="D5" s="407" t="s">
        <v>206</v>
      </c>
      <c r="E5" s="408" t="s">
        <v>38</v>
      </c>
      <c r="F5" s="409" t="s">
        <v>207</v>
      </c>
      <c r="G5" s="409" t="s">
        <v>24</v>
      </c>
      <c r="H5" s="410" t="s">
        <v>1251</v>
      </c>
      <c r="I5" s="404"/>
    </row>
    <row r="6" spans="1:22" ht="58">
      <c r="A6" s="133"/>
      <c r="B6" s="5"/>
      <c r="C6" s="642" t="s">
        <v>216</v>
      </c>
      <c r="D6" s="411" t="s">
        <v>1232</v>
      </c>
      <c r="E6" s="412" t="s">
        <v>212</v>
      </c>
      <c r="F6" s="413" t="s">
        <v>1233</v>
      </c>
      <c r="G6" s="413" t="s">
        <v>1234</v>
      </c>
      <c r="H6" s="414" t="s">
        <v>1235</v>
      </c>
      <c r="I6" s="404"/>
    </row>
    <row r="7" spans="1:22" ht="29">
      <c r="A7" s="133"/>
      <c r="B7" s="5"/>
      <c r="C7" s="643"/>
      <c r="D7" s="415" t="s">
        <v>219</v>
      </c>
      <c r="E7" s="416" t="s">
        <v>219</v>
      </c>
      <c r="F7" s="417" t="s">
        <v>215</v>
      </c>
      <c r="G7" s="417" t="s">
        <v>215</v>
      </c>
      <c r="H7" s="418" t="s">
        <v>1236</v>
      </c>
      <c r="I7" s="404"/>
    </row>
    <row r="8" spans="1:22" ht="43.5">
      <c r="A8" s="133"/>
      <c r="B8" s="5"/>
      <c r="C8" s="643"/>
      <c r="D8" s="415" t="s">
        <v>214</v>
      </c>
      <c r="E8" s="416" t="s">
        <v>219</v>
      </c>
      <c r="F8" s="417" t="s">
        <v>213</v>
      </c>
      <c r="G8" s="417" t="s">
        <v>1237</v>
      </c>
      <c r="H8" s="418" t="s">
        <v>1104</v>
      </c>
      <c r="I8" s="404"/>
    </row>
    <row r="9" spans="1:22" ht="58">
      <c r="A9" s="133"/>
      <c r="B9" s="5"/>
      <c r="C9" s="643"/>
      <c r="D9" s="415" t="s">
        <v>1217</v>
      </c>
      <c r="E9" s="416" t="s">
        <v>212</v>
      </c>
      <c r="F9" s="417" t="s">
        <v>1216</v>
      </c>
      <c r="G9" s="417" t="s">
        <v>1215</v>
      </c>
      <c r="H9" s="418" t="s">
        <v>1218</v>
      </c>
      <c r="I9" s="404"/>
    </row>
    <row r="10" spans="1:22" ht="73" thickBot="1">
      <c r="A10" s="133"/>
      <c r="B10" s="5"/>
      <c r="C10" s="644"/>
      <c r="D10" s="419" t="s">
        <v>1230</v>
      </c>
      <c r="E10" s="420" t="s">
        <v>212</v>
      </c>
      <c r="F10" s="421" t="s">
        <v>173</v>
      </c>
      <c r="G10" s="421" t="s">
        <v>1231</v>
      </c>
      <c r="H10" s="418" t="s">
        <v>1218</v>
      </c>
      <c r="I10" s="422"/>
      <c r="J10" s="12"/>
      <c r="K10" s="12"/>
      <c r="L10" s="12"/>
      <c r="M10" s="12"/>
      <c r="N10" s="12"/>
      <c r="O10" s="12"/>
      <c r="P10" s="12"/>
      <c r="Q10" s="12"/>
      <c r="R10" s="12"/>
      <c r="S10" s="12"/>
      <c r="T10" s="12"/>
      <c r="U10" s="12"/>
      <c r="V10" s="12"/>
    </row>
    <row r="11" spans="1:22" ht="87">
      <c r="A11" s="133"/>
      <c r="B11" s="5"/>
      <c r="C11" s="645" t="s">
        <v>75</v>
      </c>
      <c r="D11" s="423" t="s">
        <v>149</v>
      </c>
      <c r="E11" s="424" t="s">
        <v>209</v>
      </c>
      <c r="F11" s="425" t="s">
        <v>211</v>
      </c>
      <c r="G11" s="425" t="s">
        <v>150</v>
      </c>
      <c r="H11" s="426" t="s">
        <v>1194</v>
      </c>
      <c r="I11" s="422"/>
      <c r="J11" s="12"/>
      <c r="K11" s="12"/>
      <c r="L11" s="12"/>
      <c r="M11" s="12"/>
      <c r="N11" s="12"/>
      <c r="O11" s="12"/>
      <c r="P11" s="12"/>
      <c r="Q11" s="12"/>
      <c r="R11" s="12"/>
      <c r="S11" s="12"/>
      <c r="T11" s="12"/>
      <c r="U11" s="12"/>
      <c r="V11" s="12"/>
    </row>
    <row r="12" spans="1:22" ht="87">
      <c r="A12" s="133"/>
      <c r="B12" s="5"/>
      <c r="C12" s="646"/>
      <c r="D12" s="415" t="s">
        <v>210</v>
      </c>
      <c r="E12" s="416" t="s">
        <v>209</v>
      </c>
      <c r="F12" s="417" t="s">
        <v>208</v>
      </c>
      <c r="G12" s="417" t="s">
        <v>148</v>
      </c>
      <c r="H12" s="414" t="s">
        <v>1194</v>
      </c>
      <c r="I12" s="422"/>
      <c r="J12" s="12"/>
      <c r="K12" s="12"/>
      <c r="L12" s="12"/>
      <c r="M12" s="12"/>
      <c r="N12" s="12"/>
      <c r="O12" s="12"/>
      <c r="P12" s="12"/>
      <c r="Q12" s="12"/>
      <c r="R12" s="12"/>
      <c r="S12" s="12"/>
      <c r="T12" s="12"/>
      <c r="U12" s="12"/>
      <c r="V12" s="12"/>
    </row>
    <row r="13" spans="1:22" ht="87">
      <c r="A13" s="133"/>
      <c r="B13" s="5"/>
      <c r="C13" s="646"/>
      <c r="D13" s="415" t="s">
        <v>240</v>
      </c>
      <c r="E13" s="416" t="s">
        <v>209</v>
      </c>
      <c r="F13" s="417" t="s">
        <v>1195</v>
      </c>
      <c r="G13" s="417" t="s">
        <v>1195</v>
      </c>
      <c r="H13" s="414" t="s">
        <v>1194</v>
      </c>
      <c r="I13" s="422"/>
      <c r="J13" s="12"/>
      <c r="K13" s="12"/>
      <c r="L13" s="12"/>
      <c r="M13" s="12"/>
      <c r="N13" s="12"/>
      <c r="O13" s="12"/>
      <c r="P13" s="12"/>
      <c r="Q13" s="12"/>
      <c r="R13" s="12"/>
      <c r="S13" s="12"/>
      <c r="T13" s="12"/>
      <c r="U13" s="12"/>
      <c r="V13" s="12"/>
    </row>
    <row r="14" spans="1:22" ht="87">
      <c r="A14" s="133"/>
      <c r="B14" s="5"/>
      <c r="C14" s="646"/>
      <c r="D14" s="415" t="s">
        <v>241</v>
      </c>
      <c r="E14" s="416" t="s">
        <v>209</v>
      </c>
      <c r="F14" s="417" t="s">
        <v>1382</v>
      </c>
      <c r="G14" s="417" t="s">
        <v>1026</v>
      </c>
      <c r="H14" s="414" t="s">
        <v>1194</v>
      </c>
      <c r="I14" s="422"/>
      <c r="J14" s="12"/>
      <c r="K14" s="12"/>
      <c r="L14" s="12"/>
      <c r="M14" s="12"/>
      <c r="N14" s="12"/>
      <c r="O14" s="12"/>
      <c r="P14" s="12"/>
      <c r="Q14" s="12"/>
      <c r="R14" s="12"/>
      <c r="S14" s="12"/>
      <c r="T14" s="12"/>
      <c r="U14" s="12"/>
      <c r="V14" s="12"/>
    </row>
    <row r="15" spans="1:22" ht="87">
      <c r="A15" s="133"/>
      <c r="B15" s="5"/>
      <c r="C15" s="646"/>
      <c r="D15" s="415" t="s">
        <v>244</v>
      </c>
      <c r="E15" s="416" t="s">
        <v>219</v>
      </c>
      <c r="F15" s="417" t="s">
        <v>246</v>
      </c>
      <c r="G15" s="417" t="s">
        <v>245</v>
      </c>
      <c r="H15" s="414" t="s">
        <v>1194</v>
      </c>
      <c r="I15" s="422"/>
      <c r="J15" s="12"/>
      <c r="K15" s="12"/>
      <c r="L15" s="12"/>
      <c r="M15" s="12"/>
      <c r="N15" s="12"/>
      <c r="O15" s="12"/>
      <c r="P15" s="12"/>
      <c r="Q15" s="12"/>
      <c r="R15" s="12"/>
      <c r="S15" s="12"/>
      <c r="T15" s="12"/>
      <c r="U15" s="12"/>
      <c r="V15" s="12"/>
    </row>
    <row r="16" spans="1:22" ht="87">
      <c r="A16" s="133"/>
      <c r="B16" s="5"/>
      <c r="C16" s="646"/>
      <c r="D16" s="415" t="s">
        <v>247</v>
      </c>
      <c r="E16" s="416" t="s">
        <v>219</v>
      </c>
      <c r="F16" s="417" t="s">
        <v>248</v>
      </c>
      <c r="G16" s="417" t="s">
        <v>249</v>
      </c>
      <c r="H16" s="418" t="s">
        <v>1383</v>
      </c>
      <c r="I16" s="422"/>
      <c r="J16" s="12"/>
      <c r="K16" s="12"/>
      <c r="L16" s="12"/>
      <c r="M16" s="12"/>
      <c r="N16" s="12"/>
      <c r="O16" s="12"/>
      <c r="P16" s="12"/>
      <c r="Q16" s="12"/>
      <c r="R16" s="12"/>
      <c r="S16" s="12"/>
      <c r="T16" s="12"/>
      <c r="U16" s="12"/>
      <c r="V16" s="12"/>
    </row>
    <row r="17" spans="1:22" ht="87">
      <c r="A17" s="133"/>
      <c r="B17" s="5"/>
      <c r="C17" s="646"/>
      <c r="D17" s="415" t="s">
        <v>250</v>
      </c>
      <c r="E17" s="416" t="s">
        <v>219</v>
      </c>
      <c r="F17" s="417" t="s">
        <v>1197</v>
      </c>
      <c r="G17" s="417" t="s">
        <v>1196</v>
      </c>
      <c r="H17" s="418" t="s">
        <v>1383</v>
      </c>
      <c r="I17" s="422"/>
      <c r="J17" s="12"/>
      <c r="K17" s="12"/>
      <c r="L17" s="12"/>
      <c r="M17" s="12"/>
      <c r="N17" s="12"/>
      <c r="O17" s="12"/>
      <c r="P17" s="12"/>
      <c r="Q17" s="12"/>
      <c r="R17" s="12"/>
      <c r="S17" s="12"/>
      <c r="T17" s="12"/>
      <c r="U17" s="12"/>
      <c r="V17" s="12"/>
    </row>
    <row r="18" spans="1:22" ht="87.5" thickBot="1">
      <c r="A18" s="133"/>
      <c r="B18" s="5"/>
      <c r="C18" s="647"/>
      <c r="D18" s="419" t="s">
        <v>242</v>
      </c>
      <c r="E18" s="420" t="s">
        <v>219</v>
      </c>
      <c r="F18" s="421" t="s">
        <v>1198</v>
      </c>
      <c r="G18" s="421" t="s">
        <v>243</v>
      </c>
      <c r="H18" s="427" t="s">
        <v>1383</v>
      </c>
      <c r="I18" s="422"/>
      <c r="J18" s="12"/>
      <c r="K18" s="12"/>
      <c r="L18" s="12"/>
      <c r="M18" s="12"/>
      <c r="N18" s="12"/>
      <c r="O18" s="12"/>
      <c r="P18" s="12"/>
      <c r="Q18" s="12"/>
      <c r="R18" s="12"/>
      <c r="S18" s="12"/>
      <c r="T18" s="12"/>
      <c r="U18" s="12"/>
      <c r="V18" s="12"/>
    </row>
    <row r="19" spans="1:22" ht="58">
      <c r="A19" s="133"/>
      <c r="B19" s="5"/>
      <c r="C19" s="648" t="s">
        <v>222</v>
      </c>
      <c r="D19" s="411" t="s">
        <v>1199</v>
      </c>
      <c r="E19" s="412" t="s">
        <v>212</v>
      </c>
      <c r="F19" s="413" t="s">
        <v>1200</v>
      </c>
      <c r="G19" s="413" t="s">
        <v>1201</v>
      </c>
      <c r="H19" s="428" t="s">
        <v>1202</v>
      </c>
      <c r="I19" s="422"/>
      <c r="J19" s="12"/>
      <c r="K19" s="12"/>
      <c r="L19" s="12"/>
      <c r="M19" s="12"/>
      <c r="N19" s="12"/>
      <c r="O19" s="12"/>
      <c r="P19" s="12"/>
      <c r="Q19" s="12"/>
      <c r="R19" s="12"/>
      <c r="S19" s="12"/>
      <c r="T19" s="12"/>
      <c r="U19" s="12"/>
      <c r="V19" s="12"/>
    </row>
    <row r="20" spans="1:22" ht="58">
      <c r="A20" s="133"/>
      <c r="B20" s="5"/>
      <c r="C20" s="649"/>
      <c r="D20" s="415" t="s">
        <v>1204</v>
      </c>
      <c r="E20" s="416" t="s">
        <v>212</v>
      </c>
      <c r="F20" s="417" t="s">
        <v>1203</v>
      </c>
      <c r="G20" s="417" t="s">
        <v>1205</v>
      </c>
      <c r="H20" s="429" t="s">
        <v>1206</v>
      </c>
      <c r="I20" s="422"/>
      <c r="J20" s="12"/>
      <c r="K20" s="12"/>
      <c r="L20" s="12"/>
      <c r="M20" s="12"/>
      <c r="N20" s="12"/>
      <c r="O20" s="12"/>
      <c r="P20" s="12"/>
      <c r="Q20" s="12"/>
      <c r="R20" s="12"/>
      <c r="S20" s="12"/>
      <c r="T20" s="12"/>
      <c r="U20" s="12"/>
      <c r="V20" s="12"/>
    </row>
    <row r="21" spans="1:22" ht="58">
      <c r="A21" s="133"/>
      <c r="B21" s="5"/>
      <c r="C21" s="649"/>
      <c r="D21" s="415" t="s">
        <v>1208</v>
      </c>
      <c r="E21" s="416" t="s">
        <v>212</v>
      </c>
      <c r="F21" s="417" t="s">
        <v>1207</v>
      </c>
      <c r="G21" s="417" t="s">
        <v>1209</v>
      </c>
      <c r="H21" s="429" t="s">
        <v>1210</v>
      </c>
      <c r="I21" s="422"/>
      <c r="J21" s="12"/>
      <c r="K21" s="12"/>
      <c r="L21" s="12"/>
      <c r="M21" s="12"/>
      <c r="N21" s="12"/>
      <c r="O21" s="12"/>
      <c r="P21" s="12"/>
      <c r="Q21" s="12"/>
      <c r="R21" s="12"/>
      <c r="S21" s="12"/>
      <c r="T21" s="12"/>
      <c r="U21" s="12"/>
      <c r="V21" s="12"/>
    </row>
    <row r="22" spans="1:22" ht="87">
      <c r="A22" s="133"/>
      <c r="B22" s="5"/>
      <c r="C22" s="649"/>
      <c r="D22" s="415" t="s">
        <v>1212</v>
      </c>
      <c r="E22" s="416" t="s">
        <v>228</v>
      </c>
      <c r="F22" s="417" t="s">
        <v>1211</v>
      </c>
      <c r="G22" s="417" t="s">
        <v>1213</v>
      </c>
      <c r="H22" s="429" t="s">
        <v>1214</v>
      </c>
      <c r="I22" s="422"/>
      <c r="J22" s="12"/>
      <c r="K22" s="12"/>
      <c r="L22" s="12"/>
      <c r="M22" s="12"/>
      <c r="N22" s="12"/>
      <c r="O22" s="12"/>
      <c r="P22" s="12"/>
      <c r="Q22" s="12"/>
      <c r="R22" s="12"/>
      <c r="S22" s="12"/>
      <c r="T22" s="12"/>
      <c r="U22" s="12"/>
      <c r="V22" s="12"/>
    </row>
    <row r="23" spans="1:22" ht="58">
      <c r="A23" s="133"/>
      <c r="B23" s="5"/>
      <c r="C23" s="649"/>
      <c r="D23" s="415" t="s">
        <v>1219</v>
      </c>
      <c r="E23" s="416" t="s">
        <v>212</v>
      </c>
      <c r="F23" s="417" t="s">
        <v>220</v>
      </c>
      <c r="G23" s="430" t="s">
        <v>1220</v>
      </c>
      <c r="H23" s="418"/>
      <c r="I23" s="422"/>
      <c r="J23" s="12"/>
      <c r="K23" s="12"/>
      <c r="L23" s="12"/>
      <c r="M23" s="12"/>
      <c r="N23" s="12"/>
      <c r="O23" s="12"/>
      <c r="P23" s="12"/>
      <c r="Q23" s="12"/>
      <c r="R23" s="12"/>
      <c r="S23" s="12"/>
      <c r="T23" s="12"/>
      <c r="U23" s="12"/>
      <c r="V23" s="12"/>
    </row>
    <row r="24" spans="1:22">
      <c r="A24" s="133"/>
      <c r="B24" s="5"/>
      <c r="C24" s="649"/>
      <c r="D24" s="415" t="s">
        <v>1406</v>
      </c>
      <c r="E24" s="416" t="s">
        <v>219</v>
      </c>
      <c r="F24" s="417" t="s">
        <v>1221</v>
      </c>
      <c r="G24" s="417" t="s">
        <v>1222</v>
      </c>
      <c r="H24" s="418"/>
      <c r="I24" s="422"/>
      <c r="J24" s="12"/>
      <c r="K24" s="12"/>
      <c r="L24" s="12"/>
      <c r="M24" s="12"/>
      <c r="N24" s="12"/>
      <c r="O24" s="12"/>
      <c r="P24" s="12"/>
      <c r="Q24" s="12"/>
      <c r="R24" s="12"/>
      <c r="S24" s="12"/>
      <c r="T24" s="12"/>
      <c r="U24" s="12"/>
      <c r="V24" s="12"/>
    </row>
    <row r="25" spans="1:22" ht="29">
      <c r="A25" s="133"/>
      <c r="B25" s="5"/>
      <c r="C25" s="649"/>
      <c r="D25" s="415" t="s">
        <v>1407</v>
      </c>
      <c r="E25" s="416" t="s">
        <v>219</v>
      </c>
      <c r="F25" s="417" t="s">
        <v>1223</v>
      </c>
      <c r="G25" s="417" t="s">
        <v>1224</v>
      </c>
      <c r="H25" s="418"/>
      <c r="I25" s="422"/>
      <c r="J25" s="12"/>
      <c r="K25" s="12"/>
      <c r="L25" s="12"/>
      <c r="M25" s="12"/>
      <c r="N25" s="12"/>
      <c r="O25" s="12"/>
      <c r="P25" s="12"/>
      <c r="Q25" s="12"/>
      <c r="R25" s="12"/>
      <c r="S25" s="12"/>
      <c r="T25" s="12"/>
      <c r="U25" s="12"/>
      <c r="V25" s="12"/>
    </row>
    <row r="26" spans="1:22" ht="29">
      <c r="A26" s="133"/>
      <c r="B26" s="5"/>
      <c r="C26" s="649"/>
      <c r="D26" s="415" t="s">
        <v>1408</v>
      </c>
      <c r="E26" s="416" t="s">
        <v>219</v>
      </c>
      <c r="F26" s="417" t="s">
        <v>1225</v>
      </c>
      <c r="G26" s="417" t="s">
        <v>1226</v>
      </c>
      <c r="H26" s="418"/>
      <c r="I26" s="422"/>
      <c r="J26" s="12"/>
      <c r="K26" s="12"/>
      <c r="L26" s="12"/>
      <c r="M26" s="12"/>
      <c r="N26" s="12"/>
      <c r="O26" s="12"/>
      <c r="P26" s="12"/>
      <c r="Q26" s="12"/>
      <c r="R26" s="12"/>
      <c r="S26" s="12"/>
      <c r="T26" s="12"/>
      <c r="U26" s="12"/>
      <c r="V26" s="12"/>
    </row>
    <row r="27" spans="1:22" ht="102" thickBot="1">
      <c r="A27" s="133"/>
      <c r="B27" s="5"/>
      <c r="C27" s="650"/>
      <c r="D27" s="431" t="s">
        <v>1228</v>
      </c>
      <c r="E27" s="432" t="s">
        <v>212</v>
      </c>
      <c r="F27" s="433" t="s">
        <v>1227</v>
      </c>
      <c r="G27" s="433" t="s">
        <v>1229</v>
      </c>
      <c r="H27" s="434"/>
      <c r="I27" s="422"/>
      <c r="J27" s="12"/>
      <c r="K27" s="12"/>
      <c r="L27" s="12"/>
      <c r="M27" s="12"/>
      <c r="N27" s="12"/>
      <c r="O27" s="12"/>
      <c r="P27" s="12"/>
      <c r="Q27" s="12"/>
      <c r="R27" s="12"/>
      <c r="S27" s="12"/>
      <c r="T27" s="12"/>
      <c r="U27" s="12"/>
      <c r="V27" s="12"/>
    </row>
    <row r="28" spans="1:22" ht="29">
      <c r="A28" s="133"/>
      <c r="B28" s="5"/>
      <c r="C28" s="651" t="s">
        <v>223</v>
      </c>
      <c r="D28" s="435" t="s">
        <v>1339</v>
      </c>
      <c r="E28" s="436" t="s">
        <v>212</v>
      </c>
      <c r="F28" s="437" t="s">
        <v>1340</v>
      </c>
      <c r="G28" s="437" t="s">
        <v>1341</v>
      </c>
      <c r="H28" s="438"/>
      <c r="I28" s="422"/>
      <c r="J28" s="12"/>
      <c r="K28" s="12"/>
      <c r="L28" s="12"/>
      <c r="M28" s="12"/>
      <c r="N28" s="12"/>
      <c r="O28" s="12"/>
      <c r="P28" s="12"/>
      <c r="Q28" s="12"/>
      <c r="R28" s="12"/>
      <c r="S28" s="12"/>
      <c r="T28" s="12"/>
      <c r="U28" s="12"/>
      <c r="V28" s="12"/>
    </row>
    <row r="29" spans="1:22" ht="72.5">
      <c r="A29" s="133"/>
      <c r="B29" s="5"/>
      <c r="C29" s="652"/>
      <c r="D29" s="415" t="s">
        <v>1241</v>
      </c>
      <c r="E29" s="416" t="s">
        <v>234</v>
      </c>
      <c r="F29" s="417" t="s">
        <v>1244</v>
      </c>
      <c r="G29" s="417" t="s">
        <v>1240</v>
      </c>
      <c r="H29" s="418" t="s">
        <v>1239</v>
      </c>
      <c r="I29" s="422"/>
      <c r="J29" s="12"/>
      <c r="K29" s="12"/>
      <c r="L29" s="12"/>
      <c r="M29" s="12"/>
      <c r="N29" s="12"/>
      <c r="O29" s="12"/>
      <c r="P29" s="12"/>
      <c r="Q29" s="12"/>
      <c r="R29" s="12"/>
      <c r="S29" s="12"/>
      <c r="T29" s="12"/>
      <c r="U29" s="12"/>
      <c r="V29" s="12"/>
    </row>
    <row r="30" spans="1:22" ht="72.5">
      <c r="A30" s="133"/>
      <c r="B30" s="5"/>
      <c r="C30" s="652"/>
      <c r="D30" s="415" t="s">
        <v>1242</v>
      </c>
      <c r="E30" s="416" t="s">
        <v>234</v>
      </c>
      <c r="F30" s="417" t="s">
        <v>1245</v>
      </c>
      <c r="G30" s="417" t="s">
        <v>1243</v>
      </c>
      <c r="H30" s="418" t="s">
        <v>1239</v>
      </c>
      <c r="I30" s="422"/>
      <c r="J30" s="12"/>
      <c r="K30" s="12"/>
      <c r="L30" s="12"/>
      <c r="M30" s="12"/>
      <c r="N30" s="12"/>
      <c r="O30" s="12"/>
      <c r="P30" s="12"/>
      <c r="Q30" s="12"/>
      <c r="R30" s="12"/>
      <c r="S30" s="12"/>
      <c r="T30" s="12"/>
      <c r="U30" s="12"/>
      <c r="V30" s="12"/>
    </row>
    <row r="31" spans="1:22" ht="29" customHeight="1">
      <c r="A31" s="133"/>
      <c r="B31" s="5"/>
      <c r="C31" s="652"/>
      <c r="D31" s="431" t="s">
        <v>1413</v>
      </c>
      <c r="E31" s="432" t="s">
        <v>219</v>
      </c>
      <c r="F31" s="433" t="s">
        <v>1246</v>
      </c>
      <c r="G31" s="433" t="s">
        <v>1247</v>
      </c>
      <c r="H31" s="434"/>
      <c r="I31" s="422"/>
      <c r="J31" s="12"/>
      <c r="K31" s="12"/>
      <c r="L31" s="12"/>
      <c r="M31" s="12"/>
      <c r="N31" s="12"/>
      <c r="O31" s="12"/>
      <c r="P31" s="12"/>
      <c r="Q31" s="12"/>
      <c r="R31" s="12"/>
      <c r="S31" s="12"/>
      <c r="T31" s="12"/>
      <c r="U31" s="12"/>
      <c r="V31" s="12"/>
    </row>
    <row r="32" spans="1:22" ht="44" thickBot="1">
      <c r="A32" s="133"/>
      <c r="B32" s="5"/>
      <c r="C32" s="653"/>
      <c r="D32" s="419" t="s">
        <v>1414</v>
      </c>
      <c r="E32" s="420" t="s">
        <v>219</v>
      </c>
      <c r="F32" s="421" t="s">
        <v>1248</v>
      </c>
      <c r="G32" s="421" t="s">
        <v>1249</v>
      </c>
      <c r="H32" s="427"/>
      <c r="I32" s="422"/>
      <c r="J32" s="12"/>
      <c r="K32" s="12"/>
      <c r="L32" s="12"/>
      <c r="M32" s="12"/>
      <c r="N32" s="12"/>
      <c r="O32" s="12"/>
      <c r="P32" s="12"/>
      <c r="Q32" s="12"/>
      <c r="R32" s="12"/>
      <c r="S32" s="12"/>
      <c r="T32" s="12"/>
      <c r="U32" s="12"/>
      <c r="V32" s="12"/>
    </row>
    <row r="33" spans="1:22" ht="116">
      <c r="A33" s="133"/>
      <c r="B33" s="5"/>
      <c r="C33" s="639" t="s">
        <v>233</v>
      </c>
      <c r="D33" s="439" t="s">
        <v>1415</v>
      </c>
      <c r="E33" s="424" t="s">
        <v>232</v>
      </c>
      <c r="F33" s="425" t="s">
        <v>1417</v>
      </c>
      <c r="G33" s="425" t="s">
        <v>1416</v>
      </c>
      <c r="H33" s="440" t="s">
        <v>1250</v>
      </c>
      <c r="I33" s="422"/>
      <c r="J33" s="12"/>
      <c r="K33" s="12"/>
      <c r="L33" s="12"/>
      <c r="M33" s="12"/>
      <c r="N33" s="12"/>
      <c r="O33" s="12"/>
      <c r="P33" s="12"/>
      <c r="Q33" s="12"/>
      <c r="R33" s="12"/>
      <c r="S33" s="12"/>
      <c r="T33" s="12"/>
      <c r="U33" s="12"/>
      <c r="V33" s="12"/>
    </row>
    <row r="34" spans="1:22" ht="116">
      <c r="A34" s="133"/>
      <c r="B34" s="5"/>
      <c r="C34" s="640"/>
      <c r="D34" s="441" t="s">
        <v>1252</v>
      </c>
      <c r="E34" s="416" t="s">
        <v>232</v>
      </c>
      <c r="F34" s="417" t="s">
        <v>1419</v>
      </c>
      <c r="G34" s="417" t="s">
        <v>1418</v>
      </c>
      <c r="H34" s="429" t="s">
        <v>1253</v>
      </c>
      <c r="I34" s="422"/>
      <c r="J34" s="12"/>
      <c r="K34" s="12"/>
      <c r="L34" s="12"/>
      <c r="M34" s="12"/>
      <c r="N34" s="12"/>
      <c r="O34" s="12"/>
      <c r="P34" s="12"/>
      <c r="Q34" s="12"/>
      <c r="R34" s="12"/>
      <c r="S34" s="12"/>
      <c r="T34" s="12"/>
      <c r="U34" s="12"/>
      <c r="V34" s="12"/>
    </row>
    <row r="35" spans="1:22" ht="116">
      <c r="A35" s="133"/>
      <c r="B35" s="5"/>
      <c r="C35" s="640"/>
      <c r="D35" s="441" t="s">
        <v>1422</v>
      </c>
      <c r="E35" s="416"/>
      <c r="F35" s="417" t="s">
        <v>1423</v>
      </c>
      <c r="G35" s="417" t="s">
        <v>1178</v>
      </c>
      <c r="H35" s="429" t="s">
        <v>1255</v>
      </c>
      <c r="I35" s="422"/>
      <c r="J35" s="12"/>
      <c r="K35" s="12"/>
      <c r="L35" s="12"/>
      <c r="M35" s="12"/>
      <c r="N35" s="12"/>
      <c r="O35" s="12"/>
      <c r="P35" s="12"/>
      <c r="Q35" s="12"/>
      <c r="R35" s="12"/>
      <c r="S35" s="12"/>
      <c r="T35" s="12"/>
      <c r="U35" s="12"/>
      <c r="V35" s="12"/>
    </row>
    <row r="36" spans="1:22" ht="116">
      <c r="A36" s="133"/>
      <c r="B36" s="5"/>
      <c r="C36" s="640"/>
      <c r="D36" s="441" t="s">
        <v>1420</v>
      </c>
      <c r="E36" s="416" t="s">
        <v>232</v>
      </c>
      <c r="F36" s="417" t="s">
        <v>1421</v>
      </c>
      <c r="G36" s="417" t="s">
        <v>1178</v>
      </c>
      <c r="H36" s="429" t="s">
        <v>1255</v>
      </c>
      <c r="I36" s="422"/>
      <c r="J36" s="12"/>
      <c r="K36" s="12"/>
      <c r="L36" s="12"/>
      <c r="M36" s="12"/>
      <c r="N36" s="12"/>
      <c r="O36" s="12"/>
      <c r="P36" s="12"/>
      <c r="Q36" s="12"/>
      <c r="R36" s="12"/>
      <c r="S36" s="12"/>
      <c r="T36" s="12"/>
      <c r="U36" s="12"/>
      <c r="V36" s="12"/>
    </row>
    <row r="37" spans="1:22" ht="29">
      <c r="A37" s="133"/>
      <c r="B37" s="5"/>
      <c r="C37" s="640"/>
      <c r="D37" s="441" t="s">
        <v>1254</v>
      </c>
      <c r="E37" s="416" t="s">
        <v>1042</v>
      </c>
      <c r="F37" s="417" t="s">
        <v>1043</v>
      </c>
      <c r="G37" s="417" t="s">
        <v>1424</v>
      </c>
      <c r="H37" s="429" t="s">
        <v>1256</v>
      </c>
      <c r="I37" s="422"/>
      <c r="J37" s="12"/>
      <c r="K37" s="12"/>
      <c r="L37" s="12"/>
      <c r="M37" s="12"/>
      <c r="N37" s="12"/>
      <c r="O37" s="12"/>
      <c r="P37" s="12"/>
      <c r="Q37" s="12"/>
      <c r="R37" s="12"/>
      <c r="S37" s="12"/>
      <c r="T37" s="12"/>
      <c r="U37" s="12"/>
      <c r="V37" s="12"/>
    </row>
    <row r="38" spans="1:22" ht="58.5" thickBot="1">
      <c r="A38" s="133"/>
      <c r="B38" s="5"/>
      <c r="C38" s="641"/>
      <c r="D38" s="442" t="s">
        <v>1257</v>
      </c>
      <c r="E38" s="420" t="s">
        <v>1042</v>
      </c>
      <c r="F38" s="421" t="s">
        <v>1044</v>
      </c>
      <c r="G38" s="421" t="s">
        <v>1425</v>
      </c>
      <c r="H38" s="443" t="s">
        <v>1256</v>
      </c>
      <c r="I38" s="422"/>
      <c r="J38" s="12"/>
      <c r="K38" s="12"/>
      <c r="L38" s="12"/>
      <c r="M38" s="12"/>
      <c r="N38" s="12"/>
      <c r="O38" s="12"/>
      <c r="P38" s="12"/>
      <c r="Q38" s="12"/>
      <c r="R38" s="12"/>
      <c r="S38" s="12"/>
      <c r="T38" s="12"/>
      <c r="U38" s="12"/>
      <c r="V38" s="12"/>
    </row>
    <row r="39" spans="1:22" ht="14" customHeight="1">
      <c r="A39" s="133"/>
      <c r="B39" s="5"/>
      <c r="C39" s="5"/>
      <c r="D39" s="141"/>
      <c r="E39" s="141"/>
      <c r="F39" s="135"/>
      <c r="G39" s="135"/>
      <c r="H39" s="142"/>
      <c r="I39" s="43"/>
      <c r="J39" s="12"/>
      <c r="K39" s="12"/>
      <c r="L39" s="12"/>
      <c r="M39" s="12"/>
      <c r="N39" s="12"/>
      <c r="O39" s="12"/>
      <c r="P39" s="12"/>
      <c r="Q39" s="12"/>
      <c r="R39" s="12"/>
      <c r="S39" s="12"/>
      <c r="T39" s="12"/>
      <c r="U39" s="12"/>
      <c r="V39" s="12"/>
    </row>
    <row r="40" spans="1:22">
      <c r="I40" s="12"/>
      <c r="J40" s="12"/>
      <c r="K40" s="12"/>
      <c r="L40" s="12"/>
      <c r="M40" s="12"/>
      <c r="N40" s="12"/>
      <c r="O40" s="12"/>
      <c r="P40" s="12"/>
      <c r="Q40" s="12"/>
      <c r="R40" s="12"/>
      <c r="S40" s="12"/>
      <c r="T40" s="12"/>
      <c r="U40" s="12"/>
      <c r="V40" s="12"/>
    </row>
    <row r="41" spans="1:22">
      <c r="I41" s="12"/>
      <c r="J41" s="12"/>
      <c r="K41" s="12"/>
      <c r="L41" s="12"/>
      <c r="M41" s="12"/>
      <c r="N41" s="12"/>
      <c r="O41" s="12"/>
      <c r="P41" s="12"/>
      <c r="Q41" s="12"/>
      <c r="R41" s="12"/>
      <c r="S41" s="12"/>
      <c r="T41" s="12"/>
      <c r="U41" s="12"/>
      <c r="V41" s="12"/>
    </row>
    <row r="42" spans="1:22">
      <c r="I42" s="12"/>
      <c r="J42" s="12"/>
      <c r="K42" s="12"/>
      <c r="L42" s="12"/>
      <c r="M42" s="12"/>
      <c r="N42" s="12"/>
      <c r="O42" s="12"/>
      <c r="P42" s="12"/>
      <c r="Q42" s="12"/>
      <c r="R42" s="12"/>
      <c r="S42" s="12"/>
      <c r="T42" s="12"/>
      <c r="U42" s="12"/>
      <c r="V42" s="12"/>
    </row>
    <row r="43" spans="1:22">
      <c r="I43" s="12"/>
      <c r="J43" s="12"/>
      <c r="K43" s="12"/>
      <c r="L43" s="12"/>
      <c r="M43" s="12"/>
      <c r="N43" s="12"/>
      <c r="O43" s="12"/>
      <c r="P43" s="12"/>
      <c r="Q43" s="12"/>
      <c r="R43" s="12"/>
      <c r="S43" s="12"/>
      <c r="T43" s="12"/>
      <c r="U43" s="12"/>
      <c r="V43" s="12"/>
    </row>
    <row r="44" spans="1:22">
      <c r="I44" s="12"/>
      <c r="J44" s="12"/>
      <c r="K44" s="12"/>
      <c r="L44" s="12"/>
      <c r="M44" s="12"/>
      <c r="N44" s="12"/>
      <c r="O44" s="12"/>
      <c r="P44" s="12"/>
      <c r="Q44" s="12"/>
      <c r="R44" s="12"/>
      <c r="S44" s="12"/>
      <c r="T44" s="12"/>
      <c r="U44" s="12"/>
      <c r="V44" s="12"/>
    </row>
    <row r="45" spans="1:22">
      <c r="I45" s="12"/>
      <c r="J45" s="12"/>
      <c r="K45" s="12"/>
      <c r="L45" s="12"/>
      <c r="M45" s="12"/>
      <c r="N45" s="12"/>
      <c r="O45" s="12"/>
      <c r="P45" s="12"/>
      <c r="Q45" s="12"/>
      <c r="R45" s="12"/>
      <c r="S45" s="12"/>
      <c r="T45" s="12"/>
      <c r="U45" s="12"/>
      <c r="V45" s="12"/>
    </row>
    <row r="46" spans="1:22">
      <c r="I46" s="12"/>
      <c r="J46" s="12"/>
      <c r="K46" s="12"/>
      <c r="L46" s="12"/>
      <c r="M46" s="12"/>
      <c r="N46" s="12"/>
      <c r="O46" s="12"/>
      <c r="P46" s="12"/>
      <c r="Q46" s="12"/>
      <c r="R46" s="12"/>
      <c r="S46" s="12"/>
      <c r="T46" s="12"/>
      <c r="U46" s="12"/>
      <c r="V46" s="12"/>
    </row>
    <row r="47" spans="1:22">
      <c r="I47" s="12"/>
      <c r="J47" s="12"/>
      <c r="K47" s="12"/>
      <c r="L47" s="12"/>
      <c r="M47" s="12"/>
      <c r="N47" s="12"/>
      <c r="O47" s="12"/>
      <c r="P47" s="12"/>
      <c r="Q47" s="12"/>
      <c r="R47" s="12"/>
      <c r="S47" s="12"/>
      <c r="T47" s="12"/>
      <c r="U47" s="12"/>
      <c r="V47" s="12"/>
    </row>
    <row r="48" spans="1:22">
      <c r="I48" s="12"/>
      <c r="J48" s="12"/>
      <c r="K48" s="12"/>
      <c r="L48" s="12"/>
      <c r="M48" s="12"/>
      <c r="N48" s="12"/>
      <c r="O48" s="12"/>
      <c r="P48" s="12"/>
      <c r="Q48" s="12"/>
      <c r="R48" s="12"/>
      <c r="S48" s="12"/>
      <c r="T48" s="12"/>
      <c r="U48" s="12"/>
      <c r="V48" s="12"/>
    </row>
    <row r="49" spans="4:22">
      <c r="I49" s="12"/>
      <c r="J49" s="12"/>
      <c r="K49" s="12"/>
      <c r="L49" s="12"/>
      <c r="M49" s="12"/>
      <c r="N49" s="12"/>
      <c r="O49" s="12"/>
      <c r="P49" s="12"/>
      <c r="Q49" s="12"/>
      <c r="R49" s="12"/>
      <c r="S49" s="12"/>
      <c r="T49" s="12"/>
      <c r="U49" s="12"/>
      <c r="V49" s="12"/>
    </row>
    <row r="50" spans="4:22">
      <c r="I50" s="12"/>
      <c r="J50" s="12"/>
      <c r="K50" s="12"/>
      <c r="L50" s="12"/>
      <c r="M50" s="12"/>
      <c r="N50" s="12"/>
      <c r="O50" s="12"/>
      <c r="P50" s="12"/>
      <c r="Q50" s="12"/>
      <c r="R50" s="12"/>
      <c r="S50" s="12"/>
      <c r="T50" s="12"/>
      <c r="U50" s="12"/>
      <c r="V50" s="12"/>
    </row>
    <row r="51" spans="4:22">
      <c r="I51" s="12"/>
      <c r="J51" s="12"/>
      <c r="K51" s="12"/>
      <c r="L51" s="12"/>
      <c r="M51" s="12"/>
      <c r="N51" s="12"/>
      <c r="O51" s="12"/>
      <c r="P51" s="12"/>
      <c r="Q51" s="12"/>
      <c r="R51" s="12"/>
      <c r="S51" s="12"/>
      <c r="T51" s="12"/>
      <c r="U51" s="12"/>
      <c r="V51" s="12"/>
    </row>
    <row r="52" spans="4:22">
      <c r="D52" s="13"/>
      <c r="E52" s="13"/>
      <c r="I52" s="12"/>
      <c r="J52" s="12"/>
      <c r="K52" s="12"/>
      <c r="L52" s="12"/>
      <c r="M52" s="12"/>
      <c r="N52" s="12"/>
      <c r="O52" s="12"/>
      <c r="P52" s="12"/>
      <c r="Q52" s="12"/>
      <c r="R52" s="12"/>
      <c r="S52" s="12"/>
      <c r="T52" s="12"/>
      <c r="U52" s="12"/>
      <c r="V52" s="12"/>
    </row>
    <row r="53" spans="4:22">
      <c r="I53" s="12"/>
      <c r="J53" s="12"/>
      <c r="K53" s="12"/>
      <c r="L53" s="12"/>
      <c r="M53" s="12"/>
      <c r="N53" s="12"/>
      <c r="O53" s="12"/>
      <c r="P53" s="12"/>
      <c r="Q53" s="12"/>
      <c r="R53" s="12"/>
      <c r="S53" s="12"/>
      <c r="T53" s="12"/>
      <c r="U53" s="12"/>
      <c r="V53" s="12"/>
    </row>
    <row r="54" spans="4:22">
      <c r="I54" s="12"/>
      <c r="J54" s="12"/>
      <c r="K54" s="12"/>
      <c r="L54" s="12"/>
      <c r="M54" s="12"/>
      <c r="N54" s="12"/>
      <c r="O54" s="12"/>
      <c r="P54" s="12"/>
      <c r="Q54" s="12"/>
      <c r="R54" s="12"/>
      <c r="S54" s="12"/>
      <c r="T54" s="12"/>
      <c r="U54" s="12"/>
      <c r="V54" s="12"/>
    </row>
    <row r="55" spans="4:22">
      <c r="I55" s="12"/>
      <c r="J55" s="12"/>
      <c r="K55" s="12"/>
      <c r="L55" s="12"/>
      <c r="M55" s="12"/>
      <c r="N55" s="12"/>
      <c r="O55" s="12"/>
      <c r="P55" s="12"/>
      <c r="Q55" s="12"/>
      <c r="R55" s="12"/>
      <c r="S55" s="12"/>
      <c r="T55" s="12"/>
      <c r="U55" s="12"/>
      <c r="V55" s="12"/>
    </row>
    <row r="56" spans="4:22">
      <c r="I56" s="12"/>
      <c r="J56" s="12"/>
      <c r="K56" s="12"/>
      <c r="L56" s="12"/>
      <c r="M56" s="12"/>
      <c r="N56" s="12"/>
      <c r="O56" s="12"/>
      <c r="P56" s="12"/>
      <c r="Q56" s="12"/>
      <c r="R56" s="12"/>
      <c r="S56" s="12"/>
      <c r="T56" s="12"/>
      <c r="U56" s="12"/>
      <c r="V56" s="12"/>
    </row>
    <row r="57" spans="4:22">
      <c r="I57" s="12"/>
      <c r="J57" s="12"/>
      <c r="K57" s="12"/>
      <c r="L57" s="12"/>
      <c r="M57" s="12"/>
      <c r="N57" s="12"/>
      <c r="O57" s="12"/>
      <c r="P57" s="12"/>
      <c r="Q57" s="12"/>
      <c r="R57" s="12"/>
      <c r="S57" s="12"/>
      <c r="T57" s="12"/>
      <c r="U57" s="12"/>
      <c r="V57" s="12"/>
    </row>
    <row r="58" spans="4:22">
      <c r="I58" s="12"/>
      <c r="J58" s="12"/>
      <c r="K58" s="12"/>
      <c r="L58" s="12"/>
      <c r="M58" s="12"/>
      <c r="N58" s="12"/>
      <c r="O58" s="12"/>
      <c r="P58" s="12"/>
      <c r="Q58" s="12"/>
      <c r="R58" s="12"/>
      <c r="S58" s="12"/>
      <c r="T58" s="12"/>
      <c r="U58" s="12"/>
      <c r="V58" s="12"/>
    </row>
    <row r="59" spans="4:22">
      <c r="I59" s="12"/>
      <c r="J59" s="12"/>
      <c r="K59" s="12"/>
      <c r="L59" s="12"/>
      <c r="M59" s="12"/>
      <c r="N59" s="12"/>
      <c r="O59" s="12"/>
      <c r="P59" s="12"/>
      <c r="Q59" s="12"/>
      <c r="R59" s="12"/>
      <c r="S59" s="12"/>
      <c r="T59" s="12"/>
      <c r="U59" s="12"/>
      <c r="V59" s="12"/>
    </row>
    <row r="60" spans="4:22">
      <c r="I60" s="12"/>
      <c r="J60" s="12"/>
      <c r="K60" s="12"/>
      <c r="L60" s="12"/>
      <c r="M60" s="12"/>
      <c r="N60" s="12"/>
      <c r="O60" s="12"/>
      <c r="P60" s="12"/>
      <c r="Q60" s="12"/>
      <c r="R60" s="12"/>
      <c r="S60" s="12"/>
      <c r="T60" s="12"/>
      <c r="U60" s="12"/>
      <c r="V60" s="12"/>
    </row>
    <row r="61" spans="4:22">
      <c r="I61" s="12"/>
      <c r="J61" s="12"/>
      <c r="K61" s="12"/>
      <c r="L61" s="12"/>
      <c r="M61" s="12"/>
      <c r="N61" s="12"/>
      <c r="O61" s="12"/>
      <c r="P61" s="12"/>
      <c r="Q61" s="12"/>
      <c r="R61" s="12"/>
      <c r="S61" s="12"/>
      <c r="T61" s="12"/>
      <c r="U61" s="12"/>
      <c r="V61" s="12"/>
    </row>
    <row r="62" spans="4:22">
      <c r="I62" s="12"/>
      <c r="J62" s="12"/>
      <c r="K62" s="12"/>
      <c r="L62" s="12"/>
      <c r="M62" s="12"/>
      <c r="N62" s="12"/>
      <c r="O62" s="12"/>
      <c r="P62" s="12"/>
      <c r="Q62" s="12"/>
      <c r="R62" s="12"/>
      <c r="S62" s="12"/>
      <c r="T62" s="12"/>
      <c r="U62" s="12"/>
      <c r="V62" s="12"/>
    </row>
    <row r="63" spans="4:22">
      <c r="I63" s="12"/>
      <c r="J63" s="12"/>
      <c r="K63" s="12"/>
      <c r="L63" s="12"/>
      <c r="M63" s="12"/>
      <c r="N63" s="12"/>
      <c r="O63" s="12"/>
      <c r="P63" s="12"/>
      <c r="Q63" s="12"/>
      <c r="R63" s="12"/>
      <c r="S63" s="12"/>
      <c r="T63" s="12"/>
      <c r="U63" s="12"/>
      <c r="V63" s="12"/>
    </row>
    <row r="65" spans="9:22" ht="14.5" customHeight="1">
      <c r="I65" s="12"/>
      <c r="J65" s="12"/>
      <c r="K65" s="12"/>
      <c r="L65" s="12"/>
      <c r="M65" s="12"/>
      <c r="N65" s="12"/>
      <c r="O65" s="12"/>
      <c r="P65" s="12"/>
      <c r="Q65" s="12"/>
      <c r="R65" s="12"/>
      <c r="S65" s="12"/>
      <c r="T65" s="12"/>
      <c r="U65" s="12"/>
      <c r="V65" s="12"/>
    </row>
    <row r="66" spans="9:22">
      <c r="I66" s="12"/>
      <c r="J66" s="12"/>
      <c r="K66" s="12"/>
      <c r="L66" s="12"/>
      <c r="M66" s="12"/>
      <c r="N66" s="12"/>
      <c r="O66" s="12"/>
      <c r="P66" s="12"/>
      <c r="Q66" s="12"/>
      <c r="R66" s="12"/>
      <c r="S66" s="12"/>
      <c r="T66" s="12"/>
      <c r="U66" s="12"/>
      <c r="V66" s="12"/>
    </row>
    <row r="67" spans="9:22">
      <c r="I67" s="12"/>
      <c r="J67" s="12"/>
      <c r="K67" s="12"/>
      <c r="L67" s="12"/>
      <c r="M67" s="12"/>
      <c r="N67" s="12"/>
      <c r="O67" s="12"/>
      <c r="P67" s="12"/>
      <c r="Q67" s="12"/>
      <c r="R67" s="12"/>
      <c r="S67" s="12"/>
      <c r="T67" s="12"/>
      <c r="U67" s="12"/>
      <c r="V67" s="12"/>
    </row>
    <row r="68" spans="9:22">
      <c r="I68" s="12"/>
      <c r="J68" s="12"/>
      <c r="K68" s="12"/>
      <c r="L68" s="12"/>
      <c r="M68" s="12"/>
      <c r="N68" s="12"/>
      <c r="O68" s="12"/>
      <c r="P68" s="12"/>
      <c r="Q68" s="12"/>
      <c r="R68" s="12"/>
      <c r="S68" s="12"/>
      <c r="T68" s="12"/>
      <c r="U68" s="12"/>
      <c r="V68" s="12"/>
    </row>
    <row r="69" spans="9:22">
      <c r="I69" s="12"/>
      <c r="J69" s="12"/>
      <c r="K69" s="12"/>
      <c r="L69" s="12"/>
      <c r="M69" s="12"/>
      <c r="N69" s="12"/>
      <c r="O69" s="12"/>
      <c r="P69" s="12"/>
      <c r="Q69" s="12"/>
      <c r="R69" s="12"/>
      <c r="S69" s="12"/>
      <c r="T69" s="12"/>
      <c r="U69" s="12"/>
      <c r="V69" s="12"/>
    </row>
    <row r="70" spans="9:22">
      <c r="I70" s="12"/>
      <c r="J70" s="12"/>
      <c r="K70" s="12"/>
      <c r="L70" s="12"/>
      <c r="M70" s="12"/>
      <c r="N70" s="12"/>
      <c r="O70" s="12"/>
      <c r="P70" s="12"/>
      <c r="Q70" s="12"/>
      <c r="R70" s="12"/>
      <c r="S70" s="12"/>
      <c r="T70" s="12"/>
      <c r="U70" s="12"/>
      <c r="V70" s="12"/>
    </row>
    <row r="71" spans="9:22">
      <c r="I71" s="12"/>
      <c r="J71" s="12"/>
      <c r="K71" s="12"/>
      <c r="L71" s="12"/>
      <c r="M71" s="12"/>
      <c r="N71" s="12"/>
      <c r="O71" s="12"/>
      <c r="P71" s="12"/>
      <c r="Q71" s="12"/>
      <c r="R71" s="12"/>
      <c r="S71" s="12"/>
      <c r="T71" s="12"/>
      <c r="U71" s="12"/>
      <c r="V71" s="12"/>
    </row>
    <row r="72" spans="9:22">
      <c r="I72" s="12"/>
      <c r="J72" s="12"/>
      <c r="K72" s="12"/>
      <c r="L72" s="12"/>
      <c r="M72" s="12"/>
      <c r="N72" s="12"/>
      <c r="O72" s="12"/>
      <c r="P72" s="12"/>
      <c r="Q72" s="12"/>
      <c r="R72" s="12"/>
      <c r="S72" s="12"/>
      <c r="T72" s="12"/>
      <c r="U72" s="12"/>
      <c r="V72" s="12"/>
    </row>
    <row r="73" spans="9:22">
      <c r="I73" s="12"/>
      <c r="J73" s="12"/>
      <c r="K73" s="12"/>
      <c r="L73" s="12"/>
      <c r="M73" s="12"/>
      <c r="N73" s="12"/>
      <c r="O73" s="12"/>
      <c r="P73" s="12"/>
      <c r="Q73" s="12"/>
      <c r="R73" s="12"/>
      <c r="S73" s="12"/>
      <c r="T73" s="12"/>
      <c r="U73" s="12"/>
      <c r="V73" s="12"/>
    </row>
    <row r="74" spans="9:22">
      <c r="I74" s="12"/>
      <c r="J74" s="12"/>
      <c r="K74" s="12"/>
      <c r="L74" s="12"/>
      <c r="M74" s="12"/>
      <c r="N74" s="12"/>
      <c r="O74" s="12"/>
      <c r="P74" s="12"/>
      <c r="Q74" s="12"/>
      <c r="R74" s="12"/>
      <c r="S74" s="12"/>
      <c r="T74" s="12"/>
      <c r="U74" s="12"/>
      <c r="V74" s="12"/>
    </row>
    <row r="75" spans="9:22">
      <c r="I75" s="12"/>
      <c r="J75" s="12"/>
      <c r="K75" s="12"/>
      <c r="L75" s="12"/>
      <c r="M75" s="12"/>
      <c r="N75" s="12"/>
      <c r="O75" s="12"/>
      <c r="P75" s="12"/>
      <c r="Q75" s="12"/>
      <c r="R75" s="12"/>
      <c r="S75" s="12"/>
      <c r="T75" s="12"/>
      <c r="U75" s="12"/>
      <c r="V75" s="12"/>
    </row>
    <row r="76" spans="9:22">
      <c r="I76" s="12"/>
      <c r="J76" s="12"/>
      <c r="K76" s="12"/>
      <c r="L76" s="12"/>
      <c r="M76" s="12"/>
      <c r="N76" s="12"/>
      <c r="O76" s="12"/>
      <c r="P76" s="12"/>
      <c r="Q76" s="12"/>
      <c r="R76" s="12"/>
      <c r="S76" s="12"/>
      <c r="T76" s="12"/>
      <c r="U76" s="12"/>
      <c r="V76" s="12"/>
    </row>
    <row r="77" spans="9:22">
      <c r="I77" s="12"/>
      <c r="J77" s="12"/>
      <c r="K77" s="12"/>
      <c r="L77" s="12"/>
      <c r="M77" s="12"/>
      <c r="N77" s="12"/>
      <c r="O77" s="12"/>
      <c r="P77" s="12"/>
      <c r="Q77" s="12"/>
      <c r="R77" s="12"/>
      <c r="S77" s="12"/>
      <c r="T77" s="12"/>
      <c r="U77" s="12"/>
      <c r="V77" s="12"/>
    </row>
    <row r="78" spans="9:22">
      <c r="I78" s="12"/>
      <c r="J78" s="12"/>
      <c r="K78" s="12"/>
      <c r="L78" s="12"/>
      <c r="M78" s="12"/>
      <c r="N78" s="12"/>
      <c r="O78" s="12"/>
      <c r="P78" s="12"/>
      <c r="Q78" s="12"/>
      <c r="R78" s="12"/>
      <c r="S78" s="12"/>
      <c r="T78" s="12"/>
      <c r="U78" s="12"/>
      <c r="V78" s="12"/>
    </row>
    <row r="79" spans="9:22">
      <c r="I79" s="12"/>
      <c r="J79" s="12"/>
      <c r="K79" s="12"/>
      <c r="L79" s="12"/>
      <c r="M79" s="12"/>
      <c r="N79" s="12"/>
      <c r="O79" s="12"/>
      <c r="P79" s="12"/>
      <c r="Q79" s="12"/>
      <c r="R79" s="12"/>
      <c r="S79" s="12"/>
      <c r="T79" s="12"/>
      <c r="U79" s="12"/>
      <c r="V79" s="12"/>
    </row>
    <row r="80" spans="9:22">
      <c r="I80" s="12"/>
      <c r="J80" s="12"/>
      <c r="K80" s="12"/>
      <c r="L80" s="12"/>
      <c r="M80" s="12"/>
      <c r="N80" s="12"/>
      <c r="O80" s="12"/>
      <c r="P80" s="12"/>
      <c r="Q80" s="12"/>
      <c r="R80" s="12"/>
      <c r="S80" s="12"/>
      <c r="T80" s="12"/>
      <c r="U80" s="12"/>
      <c r="V80" s="12"/>
    </row>
    <row r="81" spans="9:22">
      <c r="I81" s="12"/>
      <c r="J81" s="12"/>
      <c r="K81" s="12"/>
      <c r="L81" s="12"/>
      <c r="M81" s="12"/>
      <c r="N81" s="12"/>
      <c r="O81" s="12"/>
      <c r="P81" s="12"/>
      <c r="Q81" s="12"/>
      <c r="R81" s="12"/>
      <c r="S81" s="12"/>
      <c r="T81" s="12"/>
      <c r="U81" s="12"/>
      <c r="V81" s="12"/>
    </row>
    <row r="82" spans="9:22">
      <c r="I82" s="12"/>
      <c r="J82" s="12"/>
      <c r="K82" s="12"/>
      <c r="L82" s="12"/>
      <c r="M82" s="12"/>
      <c r="N82" s="12"/>
      <c r="O82" s="12"/>
      <c r="P82" s="12"/>
      <c r="Q82" s="12"/>
      <c r="R82" s="12"/>
      <c r="S82" s="12"/>
      <c r="T82" s="12"/>
      <c r="U82" s="12"/>
      <c r="V82" s="12"/>
    </row>
    <row r="83" spans="9:22">
      <c r="I83" s="12"/>
      <c r="J83" s="12"/>
      <c r="K83" s="12"/>
      <c r="L83" s="12"/>
      <c r="M83" s="12"/>
      <c r="N83" s="12"/>
      <c r="O83" s="12"/>
      <c r="P83" s="12"/>
      <c r="Q83" s="12"/>
      <c r="R83" s="12"/>
      <c r="S83" s="12"/>
      <c r="T83" s="12"/>
      <c r="U83" s="12"/>
      <c r="V83" s="12"/>
    </row>
  </sheetData>
  <sheetProtection algorithmName="SHA-512" hashValue="io1uoZxqQENKSpSJR3CiabYKKsytjYXzxurEVfuJRvrvtqxE49rX2rGQuyGPcKuOzMoYD+K+rt8zJloQMKCRAg==" saltValue="Byrr2ody4KqCNi2P9DVB/g==" spinCount="100000" sheet="1" objects="1" scenarios="1"/>
  <mergeCells count="7">
    <mergeCell ref="E1:H1"/>
    <mergeCell ref="C2:F3"/>
    <mergeCell ref="C33:C38"/>
    <mergeCell ref="C6:C10"/>
    <mergeCell ref="C11:C18"/>
    <mergeCell ref="C19:C27"/>
    <mergeCell ref="C28:C32"/>
  </mergeCells>
  <hyperlinks>
    <hyperlink ref="H21" location="'Área arborizada'!A1" display="Ver &quot;Área arborizada&quot;"/>
    <hyperlink ref="H20" location="'Área arbórea conservada'!A1" display="Ver &quot;Área arbórea conservada&quot;"/>
    <hyperlink ref="H19" location="'Diagnóstico arbóreo'!A1" display="Ver &quot;Diagnóstico Arbóreo&quot;"/>
    <hyperlink ref="H22" r:id="rId1"/>
    <hyperlink ref="H33" r:id="rId2"/>
    <hyperlink ref="H34" r:id="rId3"/>
    <hyperlink ref="H35" r:id="rId4"/>
    <hyperlink ref="H36" r:id="rId5"/>
    <hyperlink ref="H37" r:id="rId6"/>
    <hyperlink ref="H38" r:id="rId7"/>
  </hyperlinks>
  <pageMargins left="0.7" right="0.7" top="1.0972222222222223" bottom="0.75" header="0.3" footer="0.3"/>
  <pageSetup paperSize="9" orientation="portrait" r:id="rId8"/>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pageSetUpPr fitToPage="1"/>
  </sheetPr>
  <dimension ref="B1:AS35"/>
  <sheetViews>
    <sheetView showGridLines="0" topLeftCell="A4" zoomScaleNormal="100" workbookViewId="0">
      <selection activeCell="C13" sqref="C13:E13"/>
    </sheetView>
  </sheetViews>
  <sheetFormatPr defaultColWidth="8.81640625" defaultRowHeight="45" customHeight="1"/>
  <cols>
    <col min="1" max="1" width="2.81640625" style="16" customWidth="1"/>
    <col min="2" max="2" width="2.6328125" style="16" customWidth="1"/>
    <col min="3" max="3" width="29.1796875" style="17" customWidth="1"/>
    <col min="4" max="4" width="26.6328125" style="18" customWidth="1"/>
    <col min="5" max="5" width="25.08984375" style="18" customWidth="1"/>
    <col min="6" max="6" width="20.36328125" style="18" customWidth="1"/>
    <col min="7" max="7" width="20.36328125" style="19" customWidth="1"/>
    <col min="8" max="8" width="2.6328125" style="20" customWidth="1"/>
    <col min="9" max="16" width="12.6328125" style="20" customWidth="1"/>
    <col min="17" max="17" width="10" style="20" hidden="1" customWidth="1"/>
    <col min="18" max="18" width="13.6328125" style="21" customWidth="1"/>
    <col min="19" max="19" width="0.81640625" style="22" customWidth="1"/>
    <col min="20" max="20" width="14.54296875" style="23" customWidth="1"/>
    <col min="21" max="21" width="2.6328125" style="22" customWidth="1"/>
    <col min="22" max="22" width="12.6328125" style="22" customWidth="1"/>
    <col min="23" max="23" width="32.54296875" style="22" customWidth="1"/>
    <col min="24" max="24" width="9.6328125" style="24" customWidth="1"/>
    <col min="25" max="26" width="9.6328125" style="16" customWidth="1"/>
    <col min="27" max="27" width="1" style="22" customWidth="1"/>
    <col min="28" max="31" width="10.453125" style="22" customWidth="1"/>
    <col min="32" max="32" width="19" style="16" customWidth="1"/>
    <col min="33" max="33" width="14.453125" style="22" customWidth="1"/>
    <col min="34" max="37" width="19" style="16" customWidth="1"/>
    <col min="38" max="39" width="57.453125" style="16" customWidth="1"/>
    <col min="40" max="40" width="18" style="16" customWidth="1"/>
    <col min="41" max="41" width="12.81640625" style="16" bestFit="1" customWidth="1"/>
    <col min="42" max="42" width="8.453125" style="16" bestFit="1" customWidth="1"/>
    <col min="43" max="43" width="19" style="16" customWidth="1"/>
    <col min="44" max="44" width="17.81640625" style="16" customWidth="1"/>
    <col min="45" max="45" width="18.453125" style="16" customWidth="1"/>
    <col min="46" max="16384" width="8.81640625" style="16"/>
  </cols>
  <sheetData>
    <row r="1" spans="2:45" ht="90.5" customHeight="1">
      <c r="B1" s="287"/>
      <c r="C1" s="288"/>
      <c r="D1" s="517" t="s">
        <v>1106</v>
      </c>
      <c r="E1" s="517"/>
      <c r="F1" s="517"/>
      <c r="G1" s="517"/>
      <c r="H1" s="395"/>
    </row>
    <row r="2" spans="2:45" ht="70" customHeight="1">
      <c r="B2" s="396"/>
      <c r="C2" s="520" t="s">
        <v>143</v>
      </c>
      <c r="D2" s="520"/>
      <c r="E2" s="520"/>
      <c r="F2" s="520"/>
      <c r="G2" s="520"/>
      <c r="H2" s="382"/>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row>
    <row r="3" spans="2:45" ht="47" customHeight="1" thickBot="1">
      <c r="B3" s="397"/>
      <c r="C3" s="522" t="s">
        <v>164</v>
      </c>
      <c r="D3" s="522"/>
      <c r="E3" s="522"/>
      <c r="F3" s="522"/>
      <c r="G3" s="522"/>
      <c r="H3" s="382"/>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row>
    <row r="4" spans="2:45" ht="17" customHeight="1">
      <c r="B4" s="104"/>
      <c r="C4" s="656" t="s">
        <v>1028</v>
      </c>
      <c r="D4" s="657"/>
      <c r="E4" s="657"/>
      <c r="F4" s="658"/>
      <c r="G4" s="145"/>
      <c r="H4" s="145"/>
      <c r="I4" s="144"/>
      <c r="J4" s="144"/>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row>
    <row r="5" spans="2:45" ht="17" customHeight="1">
      <c r="B5" s="104"/>
      <c r="C5" s="659"/>
      <c r="D5" s="660"/>
      <c r="E5" s="660"/>
      <c r="F5" s="661"/>
      <c r="G5" s="145"/>
      <c r="H5" s="145"/>
      <c r="I5" s="144"/>
      <c r="J5" s="144"/>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row>
    <row r="6" spans="2:45" ht="17" customHeight="1">
      <c r="B6" s="104"/>
      <c r="C6" s="659"/>
      <c r="D6" s="660"/>
      <c r="E6" s="660"/>
      <c r="F6" s="661"/>
      <c r="G6" s="145"/>
      <c r="H6" s="145"/>
      <c r="I6" s="144"/>
      <c r="J6" s="144"/>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row>
    <row r="7" spans="2:45" ht="17" customHeight="1">
      <c r="B7" s="104"/>
      <c r="C7" s="659"/>
      <c r="D7" s="660"/>
      <c r="E7" s="660"/>
      <c r="F7" s="661"/>
      <c r="G7" s="145"/>
      <c r="H7" s="145"/>
      <c r="I7" s="144"/>
      <c r="J7" s="144"/>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2:45" ht="17" customHeight="1">
      <c r="B8" s="104"/>
      <c r="C8" s="659"/>
      <c r="D8" s="660"/>
      <c r="E8" s="660"/>
      <c r="F8" s="661"/>
      <c r="G8" s="145"/>
      <c r="H8" s="145"/>
      <c r="I8" s="144"/>
      <c r="J8" s="144"/>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row>
    <row r="9" spans="2:45" ht="17" customHeight="1" thickBot="1">
      <c r="B9" s="104"/>
      <c r="C9" s="662"/>
      <c r="D9" s="663"/>
      <c r="E9" s="663"/>
      <c r="F9" s="664"/>
      <c r="G9" s="145"/>
      <c r="H9" s="145"/>
      <c r="I9" s="144"/>
      <c r="J9" s="144"/>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2:45" s="103" customFormat="1" ht="52" customHeight="1">
      <c r="B10" s="398"/>
      <c r="C10" s="654" t="s">
        <v>1029</v>
      </c>
      <c r="D10" s="654"/>
      <c r="E10" s="654"/>
      <c r="F10" s="654"/>
      <c r="G10" s="654"/>
      <c r="H10" s="15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row>
    <row r="11" spans="2:45" ht="68.25" customHeight="1">
      <c r="B11" s="399"/>
      <c r="C11" s="356" t="s">
        <v>205</v>
      </c>
      <c r="D11" s="356" t="s">
        <v>204</v>
      </c>
      <c r="E11" s="356" t="s">
        <v>236</v>
      </c>
      <c r="F11" s="356" t="s">
        <v>1045</v>
      </c>
      <c r="G11" s="356" t="s">
        <v>64</v>
      </c>
      <c r="H11" s="2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row>
    <row r="12" spans="2:45" ht="49" customHeight="1">
      <c r="B12" s="26"/>
      <c r="C12" s="97">
        <v>1000</v>
      </c>
      <c r="D12" s="202" t="s">
        <v>48</v>
      </c>
      <c r="E12" s="96" t="s">
        <v>1191</v>
      </c>
      <c r="F12" s="96" t="s">
        <v>28</v>
      </c>
      <c r="G12" s="400">
        <f>VLOOKUP(D12,Listas!A:B,2,FALSE)</f>
        <v>0.6</v>
      </c>
      <c r="H12" s="2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row>
    <row r="13" spans="2:45" ht="49" customHeight="1">
      <c r="B13" s="26"/>
      <c r="C13" s="511"/>
      <c r="D13" s="511"/>
      <c r="E13" s="511"/>
      <c r="F13" s="29"/>
      <c r="G13" s="29"/>
      <c r="H13" s="2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2:45" ht="57" customHeight="1">
      <c r="B14" s="26"/>
      <c r="C14" s="356" t="s">
        <v>1311</v>
      </c>
      <c r="D14" s="356" t="s">
        <v>1189</v>
      </c>
      <c r="E14" s="147"/>
      <c r="F14" s="29"/>
      <c r="G14" s="29"/>
      <c r="H14" s="29"/>
      <c r="I14" s="19"/>
      <c r="J14" s="19"/>
      <c r="K14" s="19"/>
      <c r="L14" s="19"/>
      <c r="M14" s="19"/>
      <c r="N14" s="19"/>
      <c r="O14" s="19"/>
      <c r="P14" s="19"/>
      <c r="Q14" s="19"/>
      <c r="R14" s="19"/>
      <c r="S14" s="19"/>
      <c r="T14" s="19"/>
      <c r="U14" s="19"/>
      <c r="V14" s="16"/>
      <c r="W14" s="19"/>
      <c r="X14" s="19"/>
      <c r="Y14" s="19"/>
      <c r="Z14" s="19"/>
      <c r="AA14" s="19"/>
      <c r="AB14" s="19"/>
      <c r="AC14" s="19"/>
      <c r="AD14" s="19"/>
      <c r="AE14" s="19"/>
      <c r="AF14" s="19"/>
      <c r="AG14" s="19"/>
      <c r="AH14" s="19"/>
      <c r="AI14" s="19"/>
      <c r="AJ14" s="19"/>
      <c r="AK14" s="19"/>
      <c r="AL14" s="19"/>
      <c r="AM14" s="19"/>
      <c r="AN14" s="19"/>
    </row>
    <row r="15" spans="2:45" ht="49" customHeight="1">
      <c r="B15" s="26"/>
      <c r="C15" s="96">
        <v>300</v>
      </c>
      <c r="D15" s="94">
        <v>800</v>
      </c>
      <c r="E15" s="655"/>
      <c r="F15" s="655"/>
      <c r="G15" s="29"/>
      <c r="H15" s="29"/>
      <c r="I15" s="19"/>
      <c r="J15" s="19"/>
      <c r="K15" s="19"/>
      <c r="L15" s="19"/>
      <c r="M15" s="19"/>
      <c r="N15" s="19"/>
      <c r="O15" s="19"/>
      <c r="P15" s="19"/>
      <c r="Q15" s="19"/>
      <c r="R15" s="19"/>
      <c r="S15" s="19"/>
      <c r="T15" s="19"/>
      <c r="U15" s="19"/>
      <c r="V15" s="16"/>
      <c r="W15" s="16"/>
      <c r="X15" s="19"/>
      <c r="Y15" s="19"/>
      <c r="Z15" s="19"/>
      <c r="AA15" s="19"/>
      <c r="AB15" s="19"/>
      <c r="AC15" s="19"/>
      <c r="AD15" s="19"/>
      <c r="AE15" s="19"/>
      <c r="AF15" s="19"/>
      <c r="AG15" s="19"/>
      <c r="AH15" s="19"/>
      <c r="AI15" s="19"/>
      <c r="AJ15" s="19"/>
      <c r="AK15" s="19"/>
      <c r="AL15" s="19"/>
      <c r="AM15" s="19"/>
      <c r="AN15" s="19"/>
    </row>
    <row r="16" spans="2:45" ht="14" customHeight="1">
      <c r="B16" s="147"/>
      <c r="C16" s="175"/>
      <c r="D16" s="203"/>
      <c r="E16" s="204"/>
      <c r="F16" s="150"/>
      <c r="G16" s="150"/>
      <c r="H16" s="2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23"/>
      <c r="AQ16" s="22"/>
      <c r="AR16" s="39"/>
      <c r="AS16" s="22"/>
    </row>
    <row r="17" spans="3:45" ht="40.5" customHeight="1">
      <c r="C17" s="73"/>
      <c r="D17" s="73"/>
      <c r="E17" s="73"/>
      <c r="F17" s="74"/>
      <c r="G17" s="74"/>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23"/>
      <c r="AQ17" s="22"/>
      <c r="AR17" s="39"/>
      <c r="AS17" s="22"/>
    </row>
    <row r="18" spans="3:45" ht="40.5" customHeight="1">
      <c r="C18" s="73"/>
      <c r="D18" s="73"/>
      <c r="E18" s="73"/>
      <c r="F18" s="73"/>
      <c r="G18" s="73"/>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23"/>
      <c r="AQ18" s="22"/>
      <c r="AR18" s="39"/>
      <c r="AS18" s="22"/>
    </row>
    <row r="19" spans="3:45" ht="40.5" customHeight="1">
      <c r="C19" s="73"/>
      <c r="D19" s="73"/>
      <c r="E19" s="73"/>
      <c r="F19" s="91"/>
      <c r="G19" s="91"/>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23"/>
      <c r="AQ19" s="22"/>
      <c r="AR19" s="39"/>
      <c r="AS19" s="22"/>
    </row>
    <row r="20" spans="3:45" ht="40.5" customHeight="1">
      <c r="C20" s="73"/>
      <c r="D20" s="73"/>
      <c r="E20" s="73"/>
      <c r="F20" s="73"/>
      <c r="G20" s="73"/>
      <c r="H20" s="73"/>
      <c r="I20" s="75"/>
      <c r="J20" s="90"/>
      <c r="K20" s="90"/>
      <c r="L20" s="90"/>
      <c r="M20" s="90"/>
      <c r="N20" s="90"/>
      <c r="O20" s="90"/>
      <c r="P20" s="90"/>
      <c r="Q20" s="90"/>
      <c r="R20" s="90"/>
      <c r="S20" s="79"/>
      <c r="T20" s="75"/>
      <c r="U20" s="70"/>
      <c r="V20" s="75"/>
      <c r="W20" s="665"/>
      <c r="AA20" s="38"/>
      <c r="AB20" s="38"/>
      <c r="AC20" s="38"/>
      <c r="AD20" s="38"/>
      <c r="AE20" s="38"/>
      <c r="AP20" s="23"/>
      <c r="AQ20" s="22"/>
      <c r="AR20" s="39"/>
      <c r="AS20" s="22"/>
    </row>
    <row r="21" spans="3:45" ht="40.5" customHeight="1">
      <c r="C21" s="73"/>
      <c r="D21" s="73"/>
      <c r="E21" s="73"/>
      <c r="F21" s="73"/>
      <c r="G21" s="74"/>
      <c r="H21" s="73"/>
      <c r="I21" s="72"/>
      <c r="J21" s="90"/>
      <c r="K21" s="90"/>
      <c r="L21" s="90"/>
      <c r="M21" s="90"/>
      <c r="N21" s="90"/>
      <c r="O21" s="90"/>
      <c r="P21" s="90"/>
      <c r="Q21" s="90"/>
      <c r="R21" s="90"/>
      <c r="S21" s="79"/>
      <c r="T21" s="71"/>
      <c r="U21" s="70"/>
      <c r="V21" s="69"/>
      <c r="W21" s="665"/>
      <c r="AA21" s="38"/>
      <c r="AB21" s="38"/>
      <c r="AC21" s="38"/>
      <c r="AD21" s="38"/>
      <c r="AE21" s="38"/>
      <c r="AP21" s="23"/>
      <c r="AQ21" s="22"/>
      <c r="AR21" s="39"/>
      <c r="AS21" s="22"/>
    </row>
    <row r="22" spans="3:45" ht="40.5" customHeight="1">
      <c r="C22" s="73"/>
      <c r="D22" s="73"/>
      <c r="E22" s="73"/>
      <c r="F22" s="73"/>
      <c r="H22" s="73"/>
      <c r="I22" s="75"/>
      <c r="J22" s="514"/>
      <c r="K22" s="514"/>
      <c r="L22" s="514"/>
      <c r="M22" s="514"/>
      <c r="N22" s="514"/>
      <c r="O22" s="514"/>
      <c r="P22" s="514"/>
      <c r="Q22" s="514"/>
      <c r="R22" s="514"/>
      <c r="S22" s="70"/>
      <c r="T22" s="75"/>
      <c r="U22" s="70"/>
      <c r="V22" s="75"/>
      <c r="W22" s="512"/>
      <c r="Y22" s="22"/>
      <c r="Z22" s="22"/>
      <c r="AD22" s="16"/>
      <c r="AE22" s="16"/>
      <c r="AG22" s="16"/>
    </row>
    <row r="23" spans="3:45" ht="40.5" customHeight="1">
      <c r="C23" s="513"/>
      <c r="D23" s="73"/>
      <c r="E23" s="73"/>
      <c r="F23" s="73"/>
      <c r="H23" s="73"/>
      <c r="I23" s="72"/>
      <c r="J23" s="514"/>
      <c r="K23" s="514"/>
      <c r="L23" s="514"/>
      <c r="M23" s="514"/>
      <c r="N23" s="514"/>
      <c r="O23" s="514"/>
      <c r="P23" s="514"/>
      <c r="Q23" s="514"/>
      <c r="R23" s="514"/>
      <c r="S23" s="70"/>
      <c r="T23" s="71"/>
      <c r="U23" s="70"/>
      <c r="V23" s="69"/>
      <c r="W23" s="512"/>
      <c r="Y23" s="22"/>
      <c r="Z23" s="22"/>
      <c r="AC23" s="40"/>
      <c r="AD23" s="16"/>
      <c r="AE23" s="16"/>
      <c r="AG23" s="16"/>
    </row>
    <row r="24" spans="3:45" ht="45" customHeight="1">
      <c r="C24" s="513"/>
      <c r="D24" s="74"/>
      <c r="E24" s="73"/>
      <c r="F24" s="73"/>
      <c r="G24" s="73"/>
      <c r="H24" s="74"/>
      <c r="I24" s="75"/>
      <c r="J24" s="514"/>
      <c r="K24" s="514"/>
      <c r="L24" s="514"/>
      <c r="M24" s="514"/>
      <c r="N24" s="514"/>
      <c r="O24" s="514"/>
      <c r="P24" s="514"/>
      <c r="Q24" s="514"/>
      <c r="R24" s="514"/>
      <c r="S24" s="83"/>
      <c r="T24" s="75"/>
      <c r="U24" s="70"/>
      <c r="V24" s="75"/>
      <c r="W24" s="512"/>
      <c r="Y24" s="22"/>
      <c r="AC24" s="16"/>
      <c r="AD24" s="16"/>
      <c r="AE24" s="16"/>
      <c r="AG24" s="16"/>
    </row>
    <row r="25" spans="3:45" ht="26" customHeight="1">
      <c r="C25" s="513"/>
      <c r="D25" s="73"/>
      <c r="E25" s="73"/>
      <c r="F25" s="73"/>
      <c r="G25" s="82"/>
      <c r="H25" s="73"/>
      <c r="I25" s="72"/>
      <c r="J25" s="514"/>
      <c r="K25" s="514"/>
      <c r="L25" s="514"/>
      <c r="M25" s="514"/>
      <c r="N25" s="514"/>
      <c r="O25" s="514"/>
      <c r="P25" s="514"/>
      <c r="Q25" s="514"/>
      <c r="R25" s="514"/>
      <c r="S25" s="70"/>
      <c r="T25" s="71"/>
      <c r="U25" s="70"/>
      <c r="V25" s="69"/>
      <c r="W25" s="512"/>
      <c r="Y25" s="22"/>
      <c r="Z25" s="22"/>
      <c r="AD25" s="16"/>
      <c r="AG25" s="16"/>
    </row>
    <row r="26" spans="3:45" ht="45" customHeight="1">
      <c r="C26" s="513"/>
      <c r="D26" s="74"/>
      <c r="E26" s="74"/>
      <c r="F26" s="73"/>
      <c r="G26" s="73"/>
      <c r="H26" s="73"/>
      <c r="I26" s="75"/>
      <c r="J26" s="514"/>
      <c r="K26" s="514"/>
      <c r="L26" s="514"/>
      <c r="M26" s="514"/>
      <c r="N26" s="514"/>
      <c r="O26" s="514"/>
      <c r="P26" s="514"/>
      <c r="Q26" s="514"/>
      <c r="R26" s="514"/>
      <c r="S26" s="80"/>
      <c r="T26" s="75"/>
      <c r="U26" s="70"/>
      <c r="V26" s="75"/>
      <c r="W26" s="512"/>
    </row>
    <row r="27" spans="3:45" ht="45" customHeight="1">
      <c r="C27" s="513"/>
      <c r="D27" s="73"/>
      <c r="E27" s="73"/>
      <c r="F27" s="74"/>
      <c r="G27" s="77"/>
      <c r="H27" s="73"/>
      <c r="I27" s="72"/>
      <c r="J27" s="514"/>
      <c r="K27" s="514"/>
      <c r="L27" s="514"/>
      <c r="M27" s="514"/>
      <c r="N27" s="514"/>
      <c r="O27" s="514"/>
      <c r="P27" s="514"/>
      <c r="Q27" s="514"/>
      <c r="R27" s="514"/>
      <c r="S27" s="79"/>
      <c r="T27" s="71"/>
      <c r="U27" s="70"/>
      <c r="V27" s="69"/>
      <c r="W27" s="512"/>
    </row>
    <row r="28" spans="3:45" ht="45" customHeight="1">
      <c r="C28" s="513"/>
      <c r="D28" s="74"/>
      <c r="E28" s="74"/>
      <c r="F28" s="73"/>
      <c r="G28" s="73"/>
      <c r="H28" s="73"/>
      <c r="I28" s="75"/>
      <c r="J28" s="514"/>
      <c r="K28" s="514"/>
      <c r="L28" s="514"/>
      <c r="M28" s="514"/>
      <c r="N28" s="514"/>
      <c r="O28" s="514"/>
      <c r="P28" s="514"/>
      <c r="Q28" s="514"/>
      <c r="R28" s="514"/>
      <c r="S28" s="79"/>
      <c r="T28" s="75"/>
      <c r="U28" s="70"/>
      <c r="V28" s="75"/>
      <c r="W28" s="78"/>
    </row>
    <row r="29" spans="3:45" ht="45" customHeight="1">
      <c r="C29" s="513"/>
      <c r="D29" s="73"/>
      <c r="E29" s="73"/>
      <c r="F29" s="74"/>
      <c r="G29" s="74"/>
      <c r="H29" s="73"/>
      <c r="I29" s="72"/>
      <c r="J29" s="514"/>
      <c r="K29" s="514"/>
      <c r="L29" s="514"/>
      <c r="M29" s="514"/>
      <c r="N29" s="514"/>
      <c r="O29" s="514"/>
      <c r="P29" s="514"/>
      <c r="Q29" s="514"/>
      <c r="R29" s="514"/>
      <c r="S29" s="70"/>
      <c r="T29" s="71"/>
      <c r="U29" s="70"/>
      <c r="V29" s="69"/>
      <c r="W29" s="512"/>
    </row>
    <row r="30" spans="3:45" ht="45" customHeight="1">
      <c r="C30" s="513"/>
      <c r="D30" s="74"/>
      <c r="E30" s="74"/>
      <c r="F30" s="73"/>
      <c r="G30" s="73"/>
      <c r="H30" s="73"/>
      <c r="I30" s="75"/>
      <c r="J30" s="514"/>
      <c r="K30" s="514"/>
      <c r="L30" s="514"/>
      <c r="M30" s="514"/>
      <c r="N30" s="514"/>
      <c r="O30" s="514"/>
      <c r="P30" s="514"/>
      <c r="Q30" s="514"/>
      <c r="R30" s="514"/>
      <c r="S30" s="70"/>
      <c r="T30" s="75"/>
      <c r="U30" s="70"/>
      <c r="V30" s="75"/>
      <c r="W30" s="512"/>
    </row>
    <row r="31" spans="3:45" ht="45" customHeight="1">
      <c r="C31" s="513"/>
      <c r="D31" s="73"/>
      <c r="E31" s="73"/>
      <c r="F31" s="74"/>
      <c r="G31" s="74"/>
      <c r="H31" s="73"/>
      <c r="I31" s="72"/>
      <c r="J31" s="514"/>
      <c r="K31" s="514"/>
      <c r="L31" s="514"/>
      <c r="M31" s="514"/>
      <c r="N31" s="514"/>
      <c r="O31" s="514"/>
      <c r="P31" s="514"/>
      <c r="Q31" s="514"/>
      <c r="R31" s="514"/>
      <c r="S31" s="70"/>
      <c r="T31" s="71"/>
      <c r="U31" s="70"/>
      <c r="V31" s="69"/>
      <c r="W31" s="512"/>
    </row>
    <row r="32" spans="3:45" ht="45" customHeight="1">
      <c r="C32" s="513"/>
      <c r="D32" s="74"/>
      <c r="E32" s="74"/>
      <c r="F32" s="73"/>
      <c r="G32" s="73"/>
      <c r="H32" s="73"/>
      <c r="I32" s="75"/>
      <c r="J32" s="514"/>
      <c r="K32" s="514"/>
      <c r="L32" s="514"/>
      <c r="M32" s="514"/>
      <c r="N32" s="514"/>
      <c r="O32" s="514"/>
      <c r="P32" s="514"/>
      <c r="Q32" s="514"/>
      <c r="R32" s="514"/>
      <c r="S32" s="70"/>
      <c r="T32" s="75"/>
      <c r="U32" s="70"/>
      <c r="V32" s="75"/>
      <c r="W32" s="512"/>
    </row>
    <row r="33" spans="6:23" ht="45" customHeight="1">
      <c r="F33" s="74"/>
      <c r="G33" s="77"/>
      <c r="H33" s="73"/>
      <c r="I33" s="72"/>
      <c r="J33" s="514"/>
      <c r="K33" s="514"/>
      <c r="L33" s="514"/>
      <c r="M33" s="514"/>
      <c r="N33" s="514"/>
      <c r="O33" s="514"/>
      <c r="P33" s="514"/>
      <c r="Q33" s="514"/>
      <c r="R33" s="514"/>
      <c r="S33" s="70"/>
      <c r="T33" s="71"/>
      <c r="U33" s="70"/>
      <c r="V33" s="69"/>
      <c r="W33" s="512"/>
    </row>
    <row r="34" spans="6:23" ht="45" customHeight="1">
      <c r="F34" s="73"/>
      <c r="G34" s="73"/>
      <c r="H34" s="73"/>
      <c r="I34" s="75"/>
      <c r="J34" s="514"/>
      <c r="K34" s="514"/>
      <c r="L34" s="514"/>
      <c r="M34" s="514"/>
      <c r="N34" s="514"/>
      <c r="O34" s="514"/>
      <c r="P34" s="514"/>
      <c r="Q34" s="514"/>
      <c r="R34" s="514"/>
      <c r="S34" s="70"/>
      <c r="T34" s="75"/>
      <c r="U34" s="70"/>
      <c r="V34" s="75"/>
      <c r="W34" s="512"/>
    </row>
    <row r="35" spans="6:23" ht="45" customHeight="1">
      <c r="F35" s="74"/>
      <c r="G35" s="74"/>
      <c r="H35" s="73"/>
      <c r="I35" s="72"/>
      <c r="J35" s="514"/>
      <c r="K35" s="514"/>
      <c r="L35" s="514"/>
      <c r="M35" s="514"/>
      <c r="N35" s="514"/>
      <c r="O35" s="514"/>
      <c r="P35" s="514"/>
      <c r="Q35" s="514"/>
      <c r="R35" s="514"/>
      <c r="S35" s="70"/>
      <c r="T35" s="71"/>
      <c r="U35" s="70"/>
      <c r="V35" s="69"/>
      <c r="W35" s="512"/>
    </row>
  </sheetData>
  <sheetProtection algorithmName="SHA-512" hashValue="X7asCTMHH1lJmoKVgOB56HOJZUaAEM+qp/YRjKSGVXgmgylY7PPa69siDR+EsCdnYHXesUbSlUccT7a4jEawvw==" saltValue="IVHEvHaG1Kf+UjmLJxHC4g==" spinCount="100000" sheet="1" objects="1" scenarios="1"/>
  <protectedRanges>
    <protectedRange algorithmName="SHA-512" hashValue="zYecIPhrCOylVCLRChOCMNuO8udmVnDgHasvlrHw6+ul/Tc2T9aYYBE+PRTod6Zo/EeQvz/9UHw5ElwwYA+xkA==" saltValue="RLJQ7kO2K1LbThr9VSQZpw==" spinCount="100000" sqref="D20:E20 D22:E22" name="Condic_Precip"/>
    <protectedRange algorithmName="SHA-512" hashValue="Vg7XQXu1plkFz98tl3LY5UU83Qoso1WeBFey7DFiKNhrJ3pCoe2PEgjUZ4AJ+V7IsAPcQmQp/Mc+8dJ4axR5dg==" saltValue="ZolWhvgmqazzPhi23WvcUw==" spinCount="100000" sqref="C14:C15 E13:G13 G12" name="Indice Impermeabilidade"/>
  </protectedRanges>
  <mergeCells count="22">
    <mergeCell ref="C23:C24"/>
    <mergeCell ref="J26:R27"/>
    <mergeCell ref="W20:W21"/>
    <mergeCell ref="W22:W27"/>
    <mergeCell ref="J22:R23"/>
    <mergeCell ref="J24:R25"/>
    <mergeCell ref="C25:C26"/>
    <mergeCell ref="W29:W35"/>
    <mergeCell ref="C27:C28"/>
    <mergeCell ref="J30:R31"/>
    <mergeCell ref="C29:C30"/>
    <mergeCell ref="J32:R33"/>
    <mergeCell ref="C31:C32"/>
    <mergeCell ref="J34:R35"/>
    <mergeCell ref="J28:R29"/>
    <mergeCell ref="C13:E13"/>
    <mergeCell ref="C10:G10"/>
    <mergeCell ref="D1:G1"/>
    <mergeCell ref="E15:F15"/>
    <mergeCell ref="C3:G3"/>
    <mergeCell ref="C4:F9"/>
    <mergeCell ref="C2:G2"/>
  </mergeCells>
  <conditionalFormatting sqref="E15:F15">
    <cfRule type="cellIs" dxfId="37" priority="11" operator="equal">
      <formula>"Respeita os limites do PDM"</formula>
    </cfRule>
    <cfRule type="expression" dxfId="36" priority="12">
      <formula>#REF!&lt;0</formula>
    </cfRule>
    <cfRule type="expression" dxfId="35" priority="13">
      <formula>#REF!&gt;#REF!</formula>
    </cfRule>
  </conditionalFormatting>
  <printOptions headings="1"/>
  <pageMargins left="0.25" right="0.25" top="1.0486111111111112" bottom="0.75" header="0.3" footer="0.3"/>
  <pageSetup paperSize="9" scale="59" orientation="portrait" r:id="rId1"/>
  <headerFooter scaleWithDoc="0">
    <oddHeader>&amp;L&amp;G</oddHeader>
  </headerFooter>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Listas!$A$27:$A$29</xm:f>
          </x14:formula1>
          <xm:sqref>E12</xm:sqref>
        </x14:dataValidation>
        <x14:dataValidation type="list" allowBlank="1" showInputMessage="1" showErrorMessage="1">
          <x14:formula1>
            <xm:f>Listas!$A$32:$A$35</xm:f>
          </x14:formula1>
          <xm:sqref>F12</xm:sqref>
        </x14:dataValidation>
        <x14:dataValidation type="list" allowBlank="1" showInputMessage="1" showErrorMessage="1">
          <x14:formula1>
            <xm:f>Listas!$A$38:$A$49</xm:f>
          </x14:formula1>
          <xm:sqref>D12</xm:sqref>
        </x14:dataValidation>
        <x14:dataValidation type="list" allowBlank="1" showInputMessage="1" showErrorMessage="1">
          <x14:formula1>
            <xm:f>Listas!$A$20:$A$25</xm:f>
          </x14:formula1>
          <xm:sqref>D24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dimension ref="B1:X62"/>
  <sheetViews>
    <sheetView showGridLines="0" zoomScale="85" zoomScaleNormal="85" workbookViewId="0">
      <selection activeCell="I2" sqref="I2"/>
    </sheetView>
  </sheetViews>
  <sheetFormatPr defaultColWidth="8.81640625" defaultRowHeight="45" customHeight="1"/>
  <cols>
    <col min="1" max="1" width="2.81640625" style="28" customWidth="1"/>
    <col min="2" max="2" width="2.6328125" style="28" customWidth="1"/>
    <col min="3" max="3" width="23.36328125" style="17" customWidth="1"/>
    <col min="4" max="7" width="23.36328125" style="18" customWidth="1"/>
    <col min="8" max="8" width="20.1796875" style="18" customWidth="1"/>
    <col min="9" max="9" width="24.6328125" style="158" customWidth="1"/>
    <col min="10" max="10" width="2.6328125" style="158" customWidth="1"/>
    <col min="11" max="11" width="3.54296875" style="28" customWidth="1"/>
    <col min="12" max="12" width="18.453125" style="28" customWidth="1"/>
    <col min="13" max="16384" width="8.81640625" style="28"/>
  </cols>
  <sheetData>
    <row r="1" spans="2:10" ht="84" customHeight="1" thickBot="1">
      <c r="B1" s="287"/>
      <c r="C1" s="288"/>
      <c r="D1" s="517" t="s">
        <v>1106</v>
      </c>
      <c r="E1" s="517"/>
      <c r="F1" s="517"/>
      <c r="G1" s="517"/>
      <c r="H1" s="517"/>
      <c r="I1" s="517"/>
      <c r="J1" s="517"/>
    </row>
    <row r="2" spans="2:10" ht="69.5" customHeight="1" thickBot="1">
      <c r="B2" s="289"/>
      <c r="C2" s="675" t="s">
        <v>1070</v>
      </c>
      <c r="D2" s="675"/>
      <c r="E2" s="290"/>
      <c r="F2" s="300" t="s">
        <v>1103</v>
      </c>
      <c r="G2" s="380">
        <v>0.25</v>
      </c>
      <c r="H2" s="300" t="s">
        <v>1409</v>
      </c>
      <c r="I2" s="381">
        <f>I7+I13+I19+I25+I31+I37</f>
        <v>7.5</v>
      </c>
      <c r="J2" s="382"/>
    </row>
    <row r="3" spans="2:10" ht="95.5" customHeight="1" thickBot="1">
      <c r="B3" s="289"/>
      <c r="C3" s="674" t="s">
        <v>1101</v>
      </c>
      <c r="D3" s="674"/>
      <c r="E3" s="674"/>
      <c r="F3" s="674"/>
      <c r="G3" s="674"/>
      <c r="H3" s="674"/>
      <c r="I3" s="674"/>
      <c r="J3" s="383"/>
    </row>
    <row r="4" spans="2:10" ht="40" customHeight="1">
      <c r="B4" s="292"/>
      <c r="C4" s="666" t="s">
        <v>1074</v>
      </c>
      <c r="D4" s="667"/>
      <c r="E4" s="667"/>
      <c r="F4" s="667"/>
      <c r="G4" s="384"/>
      <c r="H4" s="306" t="s">
        <v>1072</v>
      </c>
      <c r="I4" s="385">
        <f>IF('0. Informação Preparatória'!$E$12&lt;&gt;Listas!$A$27,0%,25%)</f>
        <v>0.25</v>
      </c>
      <c r="J4" s="297"/>
    </row>
    <row r="5" spans="2:10" ht="40" customHeight="1" thickBot="1">
      <c r="B5" s="292"/>
      <c r="C5" s="668" t="s">
        <v>1073</v>
      </c>
      <c r="D5" s="669"/>
      <c r="E5" s="669"/>
      <c r="F5" s="669"/>
      <c r="G5" s="669"/>
      <c r="H5" s="669"/>
      <c r="I5" s="670"/>
      <c r="J5" s="386"/>
    </row>
    <row r="6" spans="2:10" ht="40" customHeight="1">
      <c r="B6" s="292"/>
      <c r="C6" s="307" t="s">
        <v>1078</v>
      </c>
      <c r="D6" s="308" t="s">
        <v>1077</v>
      </c>
      <c r="E6" s="308" t="s">
        <v>1079</v>
      </c>
      <c r="F6" s="308" t="s">
        <v>1080</v>
      </c>
      <c r="G6" s="308" t="s">
        <v>1081</v>
      </c>
      <c r="H6" s="308" t="s">
        <v>1391</v>
      </c>
      <c r="I6" s="336" t="s">
        <v>1102</v>
      </c>
      <c r="J6" s="304"/>
    </row>
    <row r="7" spans="2:10" ht="40" customHeight="1" thickBot="1">
      <c r="B7" s="56"/>
      <c r="C7" s="100">
        <v>100</v>
      </c>
      <c r="D7" s="67">
        <v>100</v>
      </c>
      <c r="E7" s="313">
        <f>D7/C7</f>
        <v>1</v>
      </c>
      <c r="F7" s="313">
        <v>0.68</v>
      </c>
      <c r="G7" s="313">
        <v>0.5</v>
      </c>
      <c r="H7" s="340">
        <f>IF(E7&gt;F7,0,IF(E7&lt;G7,10,(F7-E7)/(F7-G7)))</f>
        <v>0</v>
      </c>
      <c r="I7" s="341">
        <f>H7*I4</f>
        <v>0</v>
      </c>
      <c r="J7" s="164"/>
    </row>
    <row r="8" spans="2:10" ht="40" customHeight="1" thickBot="1">
      <c r="B8" s="56"/>
      <c r="C8" s="317" t="s">
        <v>1154</v>
      </c>
      <c r="D8" s="676" t="s">
        <v>1155</v>
      </c>
      <c r="E8" s="677"/>
      <c r="F8" s="387"/>
      <c r="G8" s="387"/>
      <c r="H8" s="388"/>
      <c r="I8" s="389"/>
      <c r="J8" s="164"/>
    </row>
    <row r="9" spans="2:10" ht="14" customHeight="1" thickBot="1">
      <c r="B9" s="56"/>
      <c r="C9" s="319"/>
      <c r="D9" s="320"/>
      <c r="E9" s="320"/>
      <c r="F9" s="321"/>
      <c r="G9" s="321"/>
      <c r="H9" s="322"/>
      <c r="I9" s="323"/>
      <c r="J9" s="164"/>
    </row>
    <row r="10" spans="2:10" ht="40" customHeight="1">
      <c r="B10" s="56"/>
      <c r="C10" s="666" t="s">
        <v>1075</v>
      </c>
      <c r="D10" s="667"/>
      <c r="E10" s="667"/>
      <c r="F10" s="667"/>
      <c r="G10" s="384"/>
      <c r="H10" s="306" t="s">
        <v>1072</v>
      </c>
      <c r="I10" s="385">
        <f>IF('0. Informação Preparatória'!$E$12&lt;&gt;Listas!$A$28,0%,20%)</f>
        <v>0</v>
      </c>
      <c r="J10" s="148"/>
    </row>
    <row r="11" spans="2:10" ht="21.5" customHeight="1" thickBot="1">
      <c r="B11" s="56"/>
      <c r="C11" s="668" t="s">
        <v>1076</v>
      </c>
      <c r="D11" s="669"/>
      <c r="E11" s="669"/>
      <c r="F11" s="669"/>
      <c r="G11" s="669"/>
      <c r="H11" s="669"/>
      <c r="I11" s="670"/>
      <c r="J11" s="163"/>
    </row>
    <row r="12" spans="2:10" ht="40" customHeight="1">
      <c r="B12" s="56"/>
      <c r="C12" s="307" t="s">
        <v>1087</v>
      </c>
      <c r="D12" s="308" t="s">
        <v>1088</v>
      </c>
      <c r="E12" s="308" t="s">
        <v>1089</v>
      </c>
      <c r="F12" s="308" t="s">
        <v>1080</v>
      </c>
      <c r="G12" s="309" t="s">
        <v>1081</v>
      </c>
      <c r="H12" s="335" t="s">
        <v>1392</v>
      </c>
      <c r="I12" s="336" t="s">
        <v>1102</v>
      </c>
      <c r="J12" s="166"/>
    </row>
    <row r="13" spans="2:10" ht="40" customHeight="1" thickBot="1">
      <c r="B13" s="56"/>
      <c r="C13" s="100">
        <v>8000</v>
      </c>
      <c r="D13" s="67">
        <v>4000</v>
      </c>
      <c r="E13" s="313">
        <f>D13/C13</f>
        <v>0.5</v>
      </c>
      <c r="F13" s="313">
        <v>0.68</v>
      </c>
      <c r="G13" s="314">
        <v>0.5</v>
      </c>
      <c r="H13" s="340">
        <f>IF(E13&gt;F13,0,IF(E13&lt;G13,10,10*(F13-E13)/(F13-G13)))</f>
        <v>10</v>
      </c>
      <c r="I13" s="341">
        <f>H13*I10</f>
        <v>0</v>
      </c>
      <c r="J13" s="164"/>
    </row>
    <row r="14" spans="2:10" ht="40" customHeight="1" thickBot="1">
      <c r="B14" s="56"/>
      <c r="C14" s="317" t="s">
        <v>1154</v>
      </c>
      <c r="D14" s="676" t="s">
        <v>1155</v>
      </c>
      <c r="E14" s="677"/>
      <c r="F14" s="387"/>
      <c r="G14" s="387"/>
      <c r="H14" s="388"/>
      <c r="I14" s="389"/>
      <c r="J14" s="164"/>
    </row>
    <row r="15" spans="2:10" ht="14" customHeight="1" thickBot="1">
      <c r="B15" s="56"/>
      <c r="C15" s="319"/>
      <c r="D15" s="320"/>
      <c r="E15" s="320"/>
      <c r="F15" s="321"/>
      <c r="G15" s="321"/>
      <c r="H15" s="322"/>
      <c r="I15" s="323"/>
      <c r="J15" s="164"/>
    </row>
    <row r="16" spans="2:10" ht="40" customHeight="1">
      <c r="B16" s="56"/>
      <c r="C16" s="666" t="s">
        <v>1071</v>
      </c>
      <c r="D16" s="667"/>
      <c r="E16" s="667"/>
      <c r="F16" s="667"/>
      <c r="G16" s="384"/>
      <c r="H16" s="306" t="s">
        <v>1072</v>
      </c>
      <c r="I16" s="385">
        <f>IF('0. Informação Preparatória'!E12&lt;&gt;Listas!A29,30%,100%)</f>
        <v>0.3</v>
      </c>
      <c r="J16" s="148"/>
    </row>
    <row r="17" spans="2:17" ht="23" customHeight="1" thickBot="1">
      <c r="B17" s="56"/>
      <c r="C17" s="671" t="s">
        <v>1082</v>
      </c>
      <c r="D17" s="672"/>
      <c r="E17" s="672"/>
      <c r="F17" s="672"/>
      <c r="G17" s="672"/>
      <c r="H17" s="672"/>
      <c r="I17" s="673"/>
      <c r="J17" s="163"/>
    </row>
    <row r="18" spans="2:17" ht="40" customHeight="1">
      <c r="B18" s="148"/>
      <c r="C18" s="307" t="s">
        <v>239</v>
      </c>
      <c r="D18" s="308" t="s">
        <v>1083</v>
      </c>
      <c r="E18" s="309" t="s">
        <v>1084</v>
      </c>
      <c r="F18" s="334"/>
      <c r="G18" s="334"/>
      <c r="H18" s="335" t="s">
        <v>1393</v>
      </c>
      <c r="I18" s="336" t="s">
        <v>1102</v>
      </c>
      <c r="J18" s="159"/>
    </row>
    <row r="19" spans="2:17" ht="40" customHeight="1" thickBot="1">
      <c r="B19" s="56"/>
      <c r="C19" s="160">
        <v>0.5</v>
      </c>
      <c r="D19" s="313">
        <v>0.3</v>
      </c>
      <c r="E19" s="314">
        <v>0.5</v>
      </c>
      <c r="F19" s="339"/>
      <c r="G19" s="339"/>
      <c r="H19" s="340">
        <f>IF(C19&lt;D19,0,IF(C19&gt;E19,10,((10-4)/(E19-D19))*C19+(10-((10-4)/(E19-D19))*E19)))</f>
        <v>10</v>
      </c>
      <c r="I19" s="341">
        <f>H19*I16</f>
        <v>3</v>
      </c>
      <c r="J19" s="167"/>
    </row>
    <row r="20" spans="2:17" ht="40" customHeight="1" thickBot="1">
      <c r="B20" s="56"/>
      <c r="C20" s="317" t="s">
        <v>1154</v>
      </c>
      <c r="D20" s="678" t="s">
        <v>1156</v>
      </c>
      <c r="E20" s="679"/>
      <c r="F20" s="387"/>
      <c r="G20" s="387"/>
      <c r="H20" s="388"/>
      <c r="I20" s="389"/>
      <c r="J20" s="167"/>
    </row>
    <row r="21" spans="2:17" ht="14" customHeight="1" thickBot="1">
      <c r="B21" s="56"/>
      <c r="C21" s="319"/>
      <c r="D21" s="320"/>
      <c r="E21" s="320"/>
      <c r="F21" s="321"/>
      <c r="G21" s="321"/>
      <c r="H21" s="322"/>
      <c r="I21" s="323"/>
      <c r="J21" s="167"/>
    </row>
    <row r="22" spans="2:17" ht="40" customHeight="1">
      <c r="B22" s="148"/>
      <c r="C22" s="666" t="s">
        <v>1085</v>
      </c>
      <c r="D22" s="667"/>
      <c r="E22" s="667"/>
      <c r="F22" s="667"/>
      <c r="G22" s="384"/>
      <c r="H22" s="306" t="s">
        <v>1072</v>
      </c>
      <c r="I22" s="385">
        <f>IF('0. Informação Preparatória'!$E$12&lt;&gt;Listas!$A$27,0%,30%)</f>
        <v>0.3</v>
      </c>
      <c r="J22" s="148"/>
      <c r="K22" s="30"/>
      <c r="N22" s="35"/>
      <c r="O22" s="36"/>
      <c r="P22" s="22"/>
      <c r="Q22" s="37"/>
    </row>
    <row r="23" spans="2:17" ht="40" customHeight="1" thickBot="1">
      <c r="B23" s="148"/>
      <c r="C23" s="668" t="s">
        <v>1086</v>
      </c>
      <c r="D23" s="669"/>
      <c r="E23" s="669"/>
      <c r="F23" s="669"/>
      <c r="G23" s="669"/>
      <c r="H23" s="669"/>
      <c r="I23" s="670"/>
      <c r="J23" s="163"/>
      <c r="K23" s="35"/>
      <c r="L23" s="22"/>
      <c r="M23" s="37"/>
    </row>
    <row r="24" spans="2:17" ht="40" customHeight="1">
      <c r="B24" s="148"/>
      <c r="C24" s="307" t="s">
        <v>1093</v>
      </c>
      <c r="D24" s="308" t="s">
        <v>1094</v>
      </c>
      <c r="E24" s="308" t="s">
        <v>1090</v>
      </c>
      <c r="F24" s="308" t="s">
        <v>1091</v>
      </c>
      <c r="G24" s="309" t="s">
        <v>1081</v>
      </c>
      <c r="H24" s="308" t="s">
        <v>1394</v>
      </c>
      <c r="I24" s="336" t="s">
        <v>1102</v>
      </c>
      <c r="J24" s="159"/>
    </row>
    <row r="25" spans="2:17" ht="40" customHeight="1" thickBot="1">
      <c r="B25" s="148"/>
      <c r="C25" s="100">
        <v>300</v>
      </c>
      <c r="D25" s="67">
        <v>20</v>
      </c>
      <c r="E25" s="390">
        <f>D25/C25</f>
        <v>6.6666666666666666E-2</v>
      </c>
      <c r="F25" s="313">
        <v>0.4</v>
      </c>
      <c r="G25" s="314">
        <v>0.1</v>
      </c>
      <c r="H25" s="340">
        <f>IF(E25&gt;F25,0,IF(E25&lt;G25,10,(4-10)/(F25-G25)*E25+(10-((4-10)/(F25-G25))*G25)))</f>
        <v>10</v>
      </c>
      <c r="I25" s="341">
        <f>H25*I22</f>
        <v>3</v>
      </c>
      <c r="J25" s="167"/>
    </row>
    <row r="26" spans="2:17" ht="40" customHeight="1" thickBot="1">
      <c r="B26" s="148"/>
      <c r="C26" s="317" t="s">
        <v>1154</v>
      </c>
      <c r="D26" s="676" t="s">
        <v>1155</v>
      </c>
      <c r="E26" s="677"/>
      <c r="F26" s="387"/>
      <c r="G26" s="387"/>
      <c r="H26" s="388"/>
      <c r="I26" s="389"/>
      <c r="J26" s="167"/>
    </row>
    <row r="27" spans="2:17" ht="14" customHeight="1" thickBot="1">
      <c r="B27" s="148"/>
      <c r="C27" s="319"/>
      <c r="D27" s="320"/>
      <c r="E27" s="320"/>
      <c r="F27" s="321"/>
      <c r="G27" s="321"/>
      <c r="H27" s="322"/>
      <c r="I27" s="323"/>
      <c r="J27" s="167"/>
    </row>
    <row r="28" spans="2:17" ht="40" customHeight="1">
      <c r="B28" s="148"/>
      <c r="C28" s="666" t="s">
        <v>1092</v>
      </c>
      <c r="D28" s="667"/>
      <c r="E28" s="667"/>
      <c r="F28" s="667"/>
      <c r="G28" s="384"/>
      <c r="H28" s="306" t="s">
        <v>1072</v>
      </c>
      <c r="I28" s="385">
        <f>IF('0. Informação Preparatória'!$E$12&lt;&gt;Listas!$A$28,0%,50%)</f>
        <v>0</v>
      </c>
      <c r="J28" s="159"/>
      <c r="K28" s="35"/>
      <c r="L28" s="22"/>
      <c r="M28" s="37"/>
    </row>
    <row r="29" spans="2:17" ht="40" customHeight="1" thickBot="1">
      <c r="B29" s="148"/>
      <c r="C29" s="671" t="s">
        <v>1095</v>
      </c>
      <c r="D29" s="672"/>
      <c r="E29" s="672"/>
      <c r="F29" s="672"/>
      <c r="G29" s="672"/>
      <c r="H29" s="672"/>
      <c r="I29" s="673"/>
      <c r="J29" s="163"/>
      <c r="K29" s="35"/>
      <c r="L29" s="22"/>
      <c r="M29" s="37"/>
    </row>
    <row r="30" spans="2:17" ht="40" customHeight="1">
      <c r="B30" s="148"/>
      <c r="C30" s="307" t="s">
        <v>250</v>
      </c>
      <c r="D30" s="308" t="s">
        <v>1091</v>
      </c>
      <c r="E30" s="309" t="s">
        <v>1081</v>
      </c>
      <c r="F30" s="334"/>
      <c r="G30" s="334"/>
      <c r="H30" s="335" t="s">
        <v>1395</v>
      </c>
      <c r="I30" s="336" t="s">
        <v>1102</v>
      </c>
      <c r="J30" s="56"/>
    </row>
    <row r="31" spans="2:17" ht="40" customHeight="1" thickBot="1">
      <c r="B31" s="148"/>
      <c r="C31" s="162">
        <v>0.3</v>
      </c>
      <c r="D31" s="391">
        <v>0.4</v>
      </c>
      <c r="E31" s="392">
        <v>0.1</v>
      </c>
      <c r="F31" s="339"/>
      <c r="G31" s="339"/>
      <c r="H31" s="393">
        <f>IF(C31&gt;D31,0,IF(C31&lt;E31,10,(4-10)/(D31-E31)*C31+(10-((4-10)/(D31-E31))*E31)))</f>
        <v>6.0000000000000009</v>
      </c>
      <c r="I31" s="341">
        <f>H31*I28</f>
        <v>0</v>
      </c>
      <c r="J31" s="56"/>
    </row>
    <row r="32" spans="2:17" ht="40" customHeight="1" thickBot="1">
      <c r="B32" s="148"/>
      <c r="C32" s="317" t="s">
        <v>1154</v>
      </c>
      <c r="D32" s="676" t="s">
        <v>1155</v>
      </c>
      <c r="E32" s="677"/>
      <c r="F32" s="387"/>
      <c r="G32" s="387"/>
      <c r="H32" s="388"/>
      <c r="I32" s="389"/>
      <c r="J32" s="56"/>
    </row>
    <row r="33" spans="2:12" ht="14" customHeight="1" thickBot="1">
      <c r="B33" s="148"/>
      <c r="C33" s="319"/>
      <c r="D33" s="320"/>
      <c r="E33" s="320"/>
      <c r="F33" s="321"/>
      <c r="G33" s="321"/>
      <c r="H33" s="322"/>
      <c r="I33" s="323"/>
      <c r="J33" s="56"/>
    </row>
    <row r="34" spans="2:12" ht="40" customHeight="1">
      <c r="B34" s="148"/>
      <c r="C34" s="666" t="s">
        <v>1139</v>
      </c>
      <c r="D34" s="667"/>
      <c r="E34" s="667"/>
      <c r="F34" s="667"/>
      <c r="G34" s="384"/>
      <c r="H34" s="306" t="s">
        <v>1072</v>
      </c>
      <c r="I34" s="385">
        <f>IF('0. Informação Preparatória'!$E$12&lt;&gt;Listas!$A$27,0%,15%)</f>
        <v>0.15</v>
      </c>
      <c r="J34" s="159"/>
      <c r="K34" s="22"/>
      <c r="L34" s="22"/>
    </row>
    <row r="35" spans="2:12" ht="40" customHeight="1" thickBot="1">
      <c r="B35" s="148"/>
      <c r="C35" s="668" t="s">
        <v>1147</v>
      </c>
      <c r="D35" s="669"/>
      <c r="E35" s="669"/>
      <c r="F35" s="669"/>
      <c r="G35" s="669"/>
      <c r="H35" s="669"/>
      <c r="I35" s="670"/>
      <c r="J35" s="163"/>
      <c r="K35" s="22"/>
      <c r="L35" s="22"/>
    </row>
    <row r="36" spans="2:12" ht="40" customHeight="1">
      <c r="B36" s="148"/>
      <c r="C36" s="307" t="s">
        <v>1096</v>
      </c>
      <c r="D36" s="308" t="s">
        <v>1097</v>
      </c>
      <c r="E36" s="308" t="s">
        <v>1100</v>
      </c>
      <c r="F36" s="308" t="s">
        <v>1098</v>
      </c>
      <c r="G36" s="308" t="s">
        <v>1099</v>
      </c>
      <c r="H36" s="308" t="s">
        <v>1396</v>
      </c>
      <c r="I36" s="336" t="s">
        <v>1102</v>
      </c>
      <c r="J36" s="161"/>
    </row>
    <row r="37" spans="2:12" ht="40" customHeight="1" thickBot="1">
      <c r="B37" s="148"/>
      <c r="C37" s="100">
        <v>180</v>
      </c>
      <c r="D37" s="67">
        <v>200</v>
      </c>
      <c r="E37" s="313">
        <f>D37/C37</f>
        <v>1.1111111111111112</v>
      </c>
      <c r="F37" s="313">
        <v>0.54</v>
      </c>
      <c r="G37" s="313">
        <v>1</v>
      </c>
      <c r="H37" s="394">
        <f>IF(E37&lt;F37,0,IF(E37&gt;G37,10,10*(E37-F37)/(G37-F37)))</f>
        <v>10</v>
      </c>
      <c r="I37" s="341">
        <f>H37*I34</f>
        <v>1.5</v>
      </c>
      <c r="J37" s="161"/>
    </row>
    <row r="38" spans="2:12" ht="40" customHeight="1" thickBot="1">
      <c r="B38" s="148"/>
      <c r="C38" s="317" t="s">
        <v>1154</v>
      </c>
      <c r="D38" s="676" t="s">
        <v>1155</v>
      </c>
      <c r="E38" s="677"/>
      <c r="F38" s="387"/>
      <c r="G38" s="387"/>
      <c r="H38" s="388"/>
      <c r="I38" s="389"/>
      <c r="J38" s="161"/>
    </row>
    <row r="39" spans="2:12" ht="14" customHeight="1">
      <c r="B39" s="148"/>
      <c r="C39" s="150"/>
      <c r="D39" s="150"/>
      <c r="E39" s="150"/>
      <c r="F39" s="150"/>
      <c r="G39" s="150"/>
      <c r="H39" s="150"/>
      <c r="I39" s="29"/>
      <c r="J39" s="150"/>
      <c r="K39" s="22"/>
      <c r="L39" s="22"/>
    </row>
    <row r="40" spans="2:12" ht="40.5" customHeight="1">
      <c r="C40" s="73"/>
      <c r="D40" s="73"/>
      <c r="E40" s="73"/>
      <c r="F40" s="73"/>
      <c r="G40" s="73"/>
      <c r="H40" s="73"/>
      <c r="I40" s="74"/>
      <c r="J40" s="76"/>
      <c r="K40" s="22"/>
      <c r="L40" s="22"/>
    </row>
    <row r="41" spans="2:12" ht="40.5" customHeight="1">
      <c r="C41" s="73"/>
      <c r="D41" s="73"/>
      <c r="E41" s="73"/>
      <c r="F41" s="73"/>
      <c r="G41" s="73"/>
      <c r="H41" s="73"/>
      <c r="I41" s="73"/>
      <c r="J41" s="73"/>
      <c r="K41" s="22"/>
      <c r="L41" s="22"/>
    </row>
    <row r="42" spans="2:12" ht="40.5" customHeight="1">
      <c r="C42" s="73"/>
      <c r="D42" s="73"/>
      <c r="E42" s="73"/>
      <c r="F42" s="73"/>
      <c r="G42" s="73"/>
      <c r="H42" s="73"/>
      <c r="I42" s="84"/>
      <c r="J42" s="77"/>
      <c r="K42" s="22"/>
      <c r="L42" s="22"/>
    </row>
    <row r="43" spans="2:12" ht="40.5" customHeight="1">
      <c r="C43" s="73"/>
      <c r="D43" s="73"/>
      <c r="E43" s="73"/>
      <c r="F43" s="73"/>
      <c r="G43" s="73"/>
      <c r="H43" s="73"/>
      <c r="I43" s="73"/>
      <c r="J43" s="73"/>
      <c r="K43" s="22"/>
      <c r="L43" s="22"/>
    </row>
    <row r="44" spans="2:12" ht="40.5" customHeight="1">
      <c r="C44" s="73"/>
      <c r="D44" s="73"/>
      <c r="E44" s="73"/>
      <c r="F44" s="73"/>
      <c r="G44" s="73"/>
      <c r="H44" s="73"/>
      <c r="I44" s="84"/>
      <c r="J44" s="84"/>
      <c r="K44" s="22"/>
      <c r="L44" s="22"/>
    </row>
    <row r="45" spans="2:12" ht="40.5" customHeight="1">
      <c r="C45" s="73"/>
      <c r="D45" s="73"/>
      <c r="E45" s="73"/>
      <c r="F45" s="73"/>
      <c r="G45" s="73"/>
      <c r="H45" s="73"/>
      <c r="I45" s="74"/>
      <c r="J45" s="74"/>
      <c r="K45" s="22"/>
      <c r="L45" s="22"/>
    </row>
    <row r="46" spans="2:12" ht="40.5" customHeight="1">
      <c r="C46" s="73"/>
      <c r="D46" s="73"/>
      <c r="E46" s="73"/>
      <c r="F46" s="73"/>
      <c r="G46" s="73"/>
      <c r="H46" s="73"/>
      <c r="I46" s="74"/>
      <c r="J46" s="74"/>
      <c r="K46" s="22"/>
      <c r="L46" s="22"/>
    </row>
    <row r="47" spans="2:12" ht="40.5" customHeight="1">
      <c r="C47" s="73"/>
      <c r="D47" s="73"/>
      <c r="E47" s="73"/>
      <c r="F47" s="73"/>
      <c r="G47" s="73"/>
      <c r="H47" s="73"/>
      <c r="I47" s="73"/>
      <c r="J47" s="168"/>
      <c r="K47" s="22"/>
      <c r="L47" s="22"/>
    </row>
    <row r="48" spans="2:12" ht="40.5" customHeight="1">
      <c r="C48" s="73"/>
      <c r="D48" s="73"/>
      <c r="E48" s="73"/>
      <c r="F48" s="73"/>
      <c r="G48" s="73"/>
      <c r="H48" s="73"/>
      <c r="I48" s="85"/>
      <c r="J48" s="74"/>
      <c r="K48" s="22"/>
      <c r="L48" s="22"/>
    </row>
    <row r="49" spans="2:24" ht="40.5" customHeight="1">
      <c r="C49" s="73"/>
      <c r="D49" s="73"/>
      <c r="E49" s="73"/>
      <c r="F49" s="73"/>
      <c r="G49" s="73"/>
      <c r="H49" s="73"/>
      <c r="I49" s="73"/>
      <c r="J49" s="73"/>
    </row>
    <row r="50" spans="2:24" ht="40.5" customHeight="1">
      <c r="C50" s="73"/>
      <c r="D50" s="73"/>
      <c r="E50" s="73"/>
      <c r="F50" s="73"/>
      <c r="G50" s="73"/>
      <c r="H50" s="73"/>
      <c r="I50" s="77"/>
      <c r="J50" s="84"/>
    </row>
    <row r="51" spans="2:24" ht="45" customHeight="1">
      <c r="C51" s="73"/>
      <c r="D51" s="73"/>
      <c r="E51" s="73"/>
      <c r="F51" s="73"/>
      <c r="G51" s="73"/>
      <c r="H51" s="73"/>
      <c r="I51" s="73"/>
      <c r="J51" s="73"/>
    </row>
    <row r="52" spans="2:24" ht="26" customHeight="1">
      <c r="C52" s="73"/>
      <c r="D52" s="73"/>
      <c r="E52" s="73"/>
      <c r="F52" s="73"/>
      <c r="G52" s="73"/>
      <c r="H52" s="73"/>
      <c r="I52" s="82"/>
      <c r="J52" s="81"/>
    </row>
    <row r="53" spans="2:24" ht="45" customHeight="1">
      <c r="C53" s="513"/>
      <c r="D53" s="73"/>
      <c r="E53" s="73"/>
      <c r="F53" s="73"/>
      <c r="G53" s="73"/>
      <c r="H53" s="73"/>
      <c r="I53" s="73"/>
      <c r="J53" s="73"/>
    </row>
    <row r="54" spans="2:24" ht="45" customHeight="1">
      <c r="C54" s="513"/>
      <c r="D54" s="74"/>
      <c r="E54" s="73"/>
      <c r="F54" s="74"/>
      <c r="G54" s="74"/>
      <c r="H54" s="74"/>
      <c r="I54" s="77"/>
      <c r="J54" s="76"/>
    </row>
    <row r="55" spans="2:24" ht="45" customHeight="1">
      <c r="C55" s="513"/>
      <c r="D55" s="73"/>
      <c r="E55" s="73"/>
      <c r="F55" s="73"/>
      <c r="G55" s="73"/>
      <c r="H55" s="73"/>
      <c r="I55" s="73"/>
      <c r="J55" s="73"/>
    </row>
    <row r="56" spans="2:24" ht="45" customHeight="1">
      <c r="C56" s="513"/>
      <c r="D56" s="74"/>
      <c r="E56" s="74"/>
      <c r="F56" s="74"/>
      <c r="G56" s="74"/>
      <c r="H56" s="74"/>
      <c r="I56" s="74"/>
      <c r="J56" s="76"/>
    </row>
    <row r="57" spans="2:24" ht="45" customHeight="1">
      <c r="C57" s="513"/>
      <c r="D57" s="73"/>
      <c r="E57" s="73"/>
      <c r="F57" s="73"/>
      <c r="G57" s="73"/>
      <c r="H57" s="73"/>
      <c r="I57" s="73"/>
      <c r="J57" s="73"/>
    </row>
    <row r="58" spans="2:24" s="22" customFormat="1" ht="45" customHeight="1">
      <c r="B58" s="28"/>
      <c r="C58" s="513"/>
      <c r="D58" s="74"/>
      <c r="E58" s="74"/>
      <c r="F58" s="74"/>
      <c r="G58" s="74"/>
      <c r="H58" s="74"/>
      <c r="I58" s="74"/>
      <c r="J58" s="76"/>
      <c r="K58" s="28"/>
      <c r="L58" s="28"/>
      <c r="M58" s="28"/>
      <c r="N58" s="28"/>
      <c r="O58" s="28"/>
      <c r="P58" s="28"/>
      <c r="Q58" s="28"/>
      <c r="R58" s="28"/>
      <c r="S58" s="28"/>
      <c r="T58" s="28"/>
      <c r="U58" s="28"/>
      <c r="V58" s="28"/>
      <c r="W58" s="28"/>
      <c r="X58" s="28"/>
    </row>
    <row r="59" spans="2:24" s="22" customFormat="1" ht="45" customHeight="1">
      <c r="B59" s="28"/>
      <c r="C59" s="513"/>
      <c r="D59" s="73"/>
      <c r="E59" s="73"/>
      <c r="F59" s="73"/>
      <c r="G59" s="73"/>
      <c r="H59" s="73"/>
      <c r="I59" s="73"/>
      <c r="J59" s="73"/>
      <c r="K59" s="28"/>
      <c r="L59" s="28"/>
      <c r="M59" s="28"/>
      <c r="N59" s="28"/>
      <c r="O59" s="28"/>
      <c r="P59" s="28"/>
      <c r="Q59" s="28"/>
      <c r="R59" s="28"/>
      <c r="S59" s="28"/>
      <c r="T59" s="28"/>
      <c r="U59" s="28"/>
      <c r="V59" s="28"/>
      <c r="W59" s="28"/>
      <c r="X59" s="28"/>
    </row>
    <row r="60" spans="2:24" s="22" customFormat="1" ht="45" customHeight="1">
      <c r="B60" s="28"/>
      <c r="C60" s="513"/>
      <c r="D60" s="74"/>
      <c r="E60" s="74"/>
      <c r="F60" s="74"/>
      <c r="G60" s="74"/>
      <c r="H60" s="74"/>
      <c r="I60" s="77"/>
      <c r="J60" s="76"/>
      <c r="K60" s="28"/>
      <c r="L60" s="28"/>
      <c r="M60" s="28"/>
      <c r="N60" s="28"/>
      <c r="O60" s="28"/>
      <c r="P60" s="28"/>
      <c r="Q60" s="28"/>
      <c r="R60" s="28"/>
      <c r="S60" s="28"/>
      <c r="T60" s="28"/>
      <c r="U60" s="28"/>
      <c r="V60" s="28"/>
      <c r="W60" s="28"/>
      <c r="X60" s="28"/>
    </row>
    <row r="61" spans="2:24" s="22" customFormat="1" ht="45" customHeight="1">
      <c r="B61" s="28"/>
      <c r="C61" s="513"/>
      <c r="D61" s="73"/>
      <c r="E61" s="73"/>
      <c r="F61" s="73"/>
      <c r="G61" s="73"/>
      <c r="H61" s="73"/>
      <c r="I61" s="73"/>
      <c r="J61" s="73"/>
      <c r="K61" s="28"/>
      <c r="L61" s="28"/>
      <c r="M61" s="28"/>
      <c r="N61" s="28"/>
      <c r="O61" s="28"/>
      <c r="P61" s="28"/>
      <c r="Q61" s="28"/>
      <c r="R61" s="28"/>
      <c r="S61" s="28"/>
      <c r="T61" s="28"/>
      <c r="U61" s="28"/>
      <c r="V61" s="28"/>
      <c r="W61" s="28"/>
      <c r="X61" s="28"/>
    </row>
    <row r="62" spans="2:24" s="22" customFormat="1" ht="45" customHeight="1">
      <c r="B62" s="28"/>
      <c r="C62" s="513"/>
      <c r="D62" s="74"/>
      <c r="E62" s="74"/>
      <c r="F62" s="74"/>
      <c r="G62" s="74"/>
      <c r="H62" s="74"/>
      <c r="I62" s="74"/>
      <c r="J62" s="74"/>
      <c r="K62" s="28"/>
      <c r="L62" s="28"/>
      <c r="M62" s="28"/>
      <c r="N62" s="28"/>
      <c r="O62" s="28"/>
      <c r="P62" s="28"/>
      <c r="Q62" s="28"/>
      <c r="R62" s="28"/>
      <c r="S62" s="28"/>
      <c r="T62" s="28"/>
      <c r="U62" s="28"/>
      <c r="V62" s="28"/>
      <c r="W62" s="28"/>
      <c r="X62" s="28"/>
    </row>
  </sheetData>
  <sheetProtection algorithmName="SHA-512" hashValue="dKB/CC8mYpEkxJo5mzWcVMe3UvvEQi1q9yU6E5AyNouTZw2CAFEwBfINrtWHgiAN88pfy+WF/+b5le3Oo6XB2A==" saltValue="qWuRGl4lhN768V9QcpD0UA==" spinCount="100000" sheet="1" objects="1" scenarios="1"/>
  <protectedRanges>
    <protectedRange algorithmName="SHA-512" hashValue="zYecIPhrCOylVCLRChOCMNuO8udmVnDgHasvlrHw6+ul/Tc2T9aYYBE+PRTod6Zo/EeQvz/9UHw5ElwwYA+xkA==" saltValue="RLJQ7kO2K1LbThr9VSQZpw==" spinCount="100000" sqref="D50:E50 D52:E52" name="Condic_Precip"/>
    <protectedRange algorithmName="SHA-512" hashValue="Vg7XQXu1plkFz98tl3LY5UU83Qoso1WeBFey7DFiKNhrJ3pCoe2PEgjUZ4AJ+V7IsAPcQmQp/Mc+8dJ4axR5dg==" saltValue="ZolWhvgmqazzPhi23WvcUw==" spinCount="100000" sqref="E7 E13 C13 G13 G7" name="Indice Impermeabilidade"/>
    <protectedRange algorithmName="SHA-512" hashValue="Vg7XQXu1plkFz98tl3LY5UU83Qoso1WeBFey7DFiKNhrJ3pCoe2PEgjUZ4AJ+V7IsAPcQmQp/Mc+8dJ4axR5dg==" saltValue="ZolWhvgmqazzPhi23WvcUw==" spinCount="100000" sqref="C19" name="Indice Impermeabilidade_1"/>
  </protectedRanges>
  <mergeCells count="26">
    <mergeCell ref="C57:C58"/>
    <mergeCell ref="C59:C60"/>
    <mergeCell ref="C61:C62"/>
    <mergeCell ref="C2:D2"/>
    <mergeCell ref="C4:F4"/>
    <mergeCell ref="C10:F10"/>
    <mergeCell ref="C16:F16"/>
    <mergeCell ref="C53:C54"/>
    <mergeCell ref="C55:C56"/>
    <mergeCell ref="D32:E32"/>
    <mergeCell ref="D38:E38"/>
    <mergeCell ref="D26:E26"/>
    <mergeCell ref="D20:E20"/>
    <mergeCell ref="D14:E14"/>
    <mergeCell ref="D8:E8"/>
    <mergeCell ref="C28:F28"/>
    <mergeCell ref="C34:F34"/>
    <mergeCell ref="C23:I23"/>
    <mergeCell ref="C29:I29"/>
    <mergeCell ref="C35:I35"/>
    <mergeCell ref="D1:J1"/>
    <mergeCell ref="C5:I5"/>
    <mergeCell ref="C11:I11"/>
    <mergeCell ref="C17:I17"/>
    <mergeCell ref="C22:F22"/>
    <mergeCell ref="C3:I3"/>
  </mergeCells>
  <dataValidations disablePrompts="1" count="1">
    <dataValidation type="list" allowBlank="1" showInputMessage="1" showErrorMessage="1" sqref="D54">
      <formula1>#REF!</formula1>
    </dataValidation>
  </dataValidations>
  <printOptions horizontalCentered="1"/>
  <pageMargins left="0.23622047244094491" right="0.23622047244094491" top="0.74803149606299213" bottom="0.74803149606299213" header="7.874015748031496E-2" footer="7.874015748031496E-2"/>
  <pageSetup paperSize="9" scale="55" orientation="portrait" r:id="rId1"/>
  <headerFooter scaleWithDoc="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8">
    <pageSetUpPr fitToPage="1"/>
  </sheetPr>
  <dimension ref="B1:AW54"/>
  <sheetViews>
    <sheetView showGridLines="0" zoomScale="85" zoomScaleNormal="85" workbookViewId="0">
      <selection activeCell="J8" sqref="J8 J14 J21:J22 J28"/>
    </sheetView>
  </sheetViews>
  <sheetFormatPr defaultColWidth="8.81640625" defaultRowHeight="45" customHeight="1"/>
  <cols>
    <col min="1" max="1" width="2.81640625" style="16" customWidth="1"/>
    <col min="2" max="2" width="2.6328125" style="16" customWidth="1"/>
    <col min="3" max="3" width="22.1796875" style="17" customWidth="1"/>
    <col min="4" max="6" width="20.36328125" style="18" customWidth="1"/>
    <col min="7" max="7" width="20.36328125" style="156" customWidth="1"/>
    <col min="8" max="8" width="27.453125" style="156" customWidth="1"/>
    <col min="9" max="9" width="27.453125" style="170" customWidth="1"/>
    <col min="10" max="10" width="29.81640625" style="20" customWidth="1"/>
    <col min="11" max="11" width="2.6328125" style="22" customWidth="1"/>
    <col min="12" max="12" width="14.54296875" style="23" customWidth="1"/>
    <col min="13" max="13" width="2.6328125" style="22" customWidth="1"/>
    <col min="14" max="14" width="12.6328125" style="22" customWidth="1"/>
    <col min="15" max="15" width="32.54296875" style="22" customWidth="1"/>
    <col min="16" max="16" width="9.6328125" style="24" customWidth="1"/>
    <col min="17" max="18" width="9.6328125" style="16" customWidth="1"/>
    <col min="19" max="19" width="1" style="22" customWidth="1"/>
    <col min="20" max="23" width="10.453125" style="22" customWidth="1"/>
    <col min="24" max="24" width="19" style="16" customWidth="1"/>
    <col min="25" max="25" width="14.453125" style="22" customWidth="1"/>
    <col min="26" max="29" width="19" style="16" customWidth="1"/>
    <col min="30" max="30" width="57.453125" style="16" bestFit="1" customWidth="1"/>
    <col min="31" max="31" width="57.453125" style="16" customWidth="1"/>
    <col min="32" max="32" width="18" style="16" bestFit="1" customWidth="1"/>
    <col min="33" max="33" width="12.81640625" style="16" bestFit="1" customWidth="1"/>
    <col min="34" max="34" width="8.453125" style="16" bestFit="1" customWidth="1"/>
    <col min="35" max="35" width="19" style="16" customWidth="1"/>
    <col min="36" max="36" width="17.81640625" style="16" customWidth="1"/>
    <col min="37" max="37" width="18.453125" style="16" customWidth="1"/>
    <col min="38" max="16384" width="8.81640625" style="16"/>
  </cols>
  <sheetData>
    <row r="1" spans="2:30" ht="82" customHeight="1" thickBot="1">
      <c r="B1" s="287"/>
      <c r="C1" s="288"/>
      <c r="D1" s="517" t="s">
        <v>1106</v>
      </c>
      <c r="E1" s="517"/>
      <c r="F1" s="517"/>
      <c r="G1" s="517"/>
      <c r="H1" s="517"/>
      <c r="I1" s="517"/>
      <c r="J1" s="517"/>
      <c r="K1" s="517"/>
      <c r="L1" s="173"/>
    </row>
    <row r="2" spans="2:30" ht="69.5" customHeight="1" thickBot="1">
      <c r="B2" s="289"/>
      <c r="C2" s="681" t="s">
        <v>1107</v>
      </c>
      <c r="D2" s="681"/>
      <c r="E2" s="681"/>
      <c r="F2" s="300" t="s">
        <v>1103</v>
      </c>
      <c r="G2" s="362">
        <v>0.25</v>
      </c>
      <c r="H2" s="300" t="s">
        <v>1411</v>
      </c>
      <c r="I2" s="363">
        <f>J8+J14+J21+J28</f>
        <v>10</v>
      </c>
      <c r="J2" s="364"/>
      <c r="K2" s="344"/>
      <c r="L2" s="20"/>
      <c r="O2" s="682"/>
      <c r="P2" s="682"/>
      <c r="Q2" s="682"/>
      <c r="R2" s="682"/>
      <c r="S2" s="682"/>
      <c r="T2" s="682"/>
      <c r="U2" s="682"/>
      <c r="V2" s="682"/>
      <c r="W2" s="682"/>
      <c r="X2" s="682"/>
      <c r="Y2" s="682"/>
      <c r="Z2" s="682"/>
      <c r="AA2" s="682"/>
      <c r="AB2" s="682"/>
      <c r="AC2" s="682"/>
      <c r="AD2" s="25"/>
    </row>
    <row r="3" spans="2:30" ht="108" customHeight="1">
      <c r="B3" s="289"/>
      <c r="C3" s="683" t="s">
        <v>1164</v>
      </c>
      <c r="D3" s="683"/>
      <c r="E3" s="683"/>
      <c r="F3" s="683"/>
      <c r="G3" s="683"/>
      <c r="H3" s="683"/>
      <c r="I3" s="683"/>
      <c r="J3" s="683"/>
      <c r="K3" s="344"/>
      <c r="L3" s="20"/>
      <c r="N3" s="16"/>
      <c r="O3" s="682"/>
      <c r="P3" s="682"/>
      <c r="Q3" s="682"/>
      <c r="R3" s="682"/>
      <c r="S3" s="682"/>
      <c r="T3" s="682"/>
      <c r="U3" s="682"/>
      <c r="V3" s="682"/>
      <c r="W3" s="682"/>
      <c r="X3" s="682"/>
      <c r="Y3" s="682"/>
      <c r="Z3" s="682"/>
      <c r="AA3" s="682"/>
      <c r="AB3" s="682"/>
      <c r="AC3" s="682"/>
      <c r="AD3" s="25"/>
    </row>
    <row r="4" spans="2:30" ht="14" customHeight="1" thickBot="1">
      <c r="B4" s="289"/>
      <c r="C4" s="297"/>
      <c r="D4" s="297"/>
      <c r="E4" s="297"/>
      <c r="F4" s="297"/>
      <c r="G4" s="297"/>
      <c r="H4" s="297"/>
      <c r="I4" s="297"/>
      <c r="J4" s="297"/>
      <c r="K4" s="344"/>
      <c r="L4" s="20"/>
      <c r="O4" s="682"/>
      <c r="P4" s="682"/>
      <c r="Q4" s="682"/>
      <c r="R4" s="682"/>
      <c r="S4" s="682"/>
      <c r="T4" s="682"/>
      <c r="U4" s="682"/>
      <c r="V4" s="682"/>
      <c r="W4" s="682"/>
      <c r="X4" s="682"/>
      <c r="Y4" s="682"/>
      <c r="Z4" s="682"/>
      <c r="AA4" s="682"/>
      <c r="AB4" s="682"/>
      <c r="AC4" s="682"/>
      <c r="AD4" s="25"/>
    </row>
    <row r="5" spans="2:30" ht="49" customHeight="1">
      <c r="B5" s="292"/>
      <c r="C5" s="666" t="s">
        <v>251</v>
      </c>
      <c r="D5" s="667"/>
      <c r="E5" s="667"/>
      <c r="F5" s="667"/>
      <c r="G5" s="305"/>
      <c r="H5" s="305"/>
      <c r="I5" s="306" t="s">
        <v>1072</v>
      </c>
      <c r="J5" s="345">
        <v>0.2</v>
      </c>
      <c r="K5" s="344"/>
      <c r="L5" s="20"/>
      <c r="M5" s="16"/>
      <c r="N5" s="16"/>
      <c r="O5" s="682"/>
      <c r="P5" s="682"/>
      <c r="Q5" s="682"/>
      <c r="R5" s="682"/>
      <c r="S5" s="682"/>
      <c r="T5" s="682"/>
      <c r="U5" s="682"/>
      <c r="V5" s="682"/>
      <c r="W5" s="682"/>
      <c r="X5" s="682"/>
      <c r="Y5" s="682"/>
      <c r="Z5" s="682"/>
      <c r="AA5" s="682"/>
      <c r="AB5" s="682"/>
      <c r="AC5" s="682"/>
      <c r="AD5" s="25"/>
    </row>
    <row r="6" spans="2:30" ht="75" customHeight="1" thickBot="1">
      <c r="B6" s="292"/>
      <c r="C6" s="668" t="s">
        <v>1342</v>
      </c>
      <c r="D6" s="669"/>
      <c r="E6" s="669"/>
      <c r="F6" s="669"/>
      <c r="G6" s="669"/>
      <c r="H6" s="672"/>
      <c r="I6" s="669"/>
      <c r="J6" s="670"/>
      <c r="K6" s="344"/>
      <c r="L6" s="20"/>
      <c r="M6" s="16"/>
      <c r="N6" s="16"/>
      <c r="O6" s="155"/>
      <c r="P6" s="155"/>
      <c r="Q6" s="155"/>
      <c r="R6" s="155"/>
      <c r="S6" s="155"/>
      <c r="T6" s="155"/>
      <c r="U6" s="155"/>
      <c r="V6" s="155"/>
      <c r="W6" s="155"/>
      <c r="X6" s="155"/>
      <c r="Y6" s="155"/>
      <c r="Z6" s="155"/>
      <c r="AA6" s="155"/>
      <c r="AB6" s="155"/>
      <c r="AC6" s="155"/>
      <c r="AD6" s="25"/>
    </row>
    <row r="7" spans="2:30" ht="57" customHeight="1">
      <c r="B7" s="292"/>
      <c r="C7" s="365" t="s">
        <v>1108</v>
      </c>
      <c r="D7" s="365" t="s">
        <v>1067</v>
      </c>
      <c r="E7" s="308" t="s">
        <v>1297</v>
      </c>
      <c r="F7" s="308" t="s">
        <v>1192</v>
      </c>
      <c r="G7" s="309" t="s">
        <v>1193</v>
      </c>
      <c r="H7" s="334"/>
      <c r="I7" s="309" t="s">
        <v>1389</v>
      </c>
      <c r="J7" s="346" t="s">
        <v>1102</v>
      </c>
      <c r="K7" s="344"/>
      <c r="L7" s="20"/>
      <c r="M7" s="16"/>
      <c r="N7" s="16"/>
      <c r="O7" s="16"/>
      <c r="P7" s="25"/>
      <c r="R7" s="25"/>
      <c r="S7" s="25"/>
      <c r="T7" s="25"/>
      <c r="U7" s="25"/>
      <c r="V7" s="25"/>
      <c r="W7" s="25"/>
      <c r="X7" s="25"/>
      <c r="Y7" s="25"/>
      <c r="Z7" s="25"/>
      <c r="AA7" s="25"/>
      <c r="AB7" s="25"/>
      <c r="AC7" s="25"/>
      <c r="AD7" s="25"/>
    </row>
    <row r="8" spans="2:30" ht="49" customHeight="1" thickBot="1">
      <c r="B8" s="56"/>
      <c r="C8" s="266">
        <f>'Diagnóstico arbóreo'!G48</f>
        <v>62.077870834934316</v>
      </c>
      <c r="D8" s="267">
        <f>'Área arbórea conservada'!G48</f>
        <v>220.4141405758599</v>
      </c>
      <c r="E8" s="313">
        <f>IF(C8=0,0,D8/C8)</f>
        <v>3.5506072874493926</v>
      </c>
      <c r="F8" s="366">
        <v>0.6</v>
      </c>
      <c r="G8" s="367">
        <v>1</v>
      </c>
      <c r="H8" s="339"/>
      <c r="I8" s="368">
        <f>IF(E8&gt;=G8,10,IF(E8&lt;F8,0,(10-6)/(G8-F8)*E8+(10-((10-6)/(G8-F8))*G8)))</f>
        <v>10</v>
      </c>
      <c r="J8" s="369">
        <f>I8*J5</f>
        <v>2</v>
      </c>
      <c r="K8" s="27"/>
      <c r="L8" s="20"/>
      <c r="M8" s="16"/>
      <c r="N8" s="16"/>
      <c r="O8" s="16"/>
      <c r="P8" s="25"/>
      <c r="R8" s="25"/>
      <c r="S8" s="25"/>
      <c r="T8" s="25"/>
      <c r="U8" s="25"/>
      <c r="V8" s="25"/>
      <c r="W8" s="25"/>
      <c r="X8" s="25"/>
      <c r="Y8" s="25"/>
      <c r="Z8" s="25"/>
      <c r="AA8" s="25"/>
      <c r="AB8" s="25"/>
      <c r="AC8" s="25"/>
    </row>
    <row r="9" spans="2:30" ht="102.5" customHeight="1" thickBot="1">
      <c r="B9" s="56"/>
      <c r="C9" s="317" t="s">
        <v>1154</v>
      </c>
      <c r="D9" s="678" t="s">
        <v>1343</v>
      </c>
      <c r="E9" s="679"/>
      <c r="F9" s="318" t="s">
        <v>1295</v>
      </c>
      <c r="G9" s="684" t="s">
        <v>1296</v>
      </c>
      <c r="H9" s="684"/>
      <c r="I9" s="684"/>
      <c r="J9" s="685"/>
      <c r="K9" s="27"/>
      <c r="L9" s="20"/>
      <c r="M9" s="16"/>
      <c r="N9" s="16"/>
      <c r="O9" s="16"/>
      <c r="P9" s="25"/>
      <c r="R9" s="25"/>
      <c r="S9" s="25"/>
      <c r="T9" s="25"/>
      <c r="U9" s="25"/>
      <c r="V9" s="25"/>
      <c r="W9" s="25"/>
      <c r="X9" s="25"/>
      <c r="Y9" s="25"/>
      <c r="Z9" s="25"/>
      <c r="AA9" s="25"/>
      <c r="AB9" s="25"/>
      <c r="AC9" s="25"/>
    </row>
    <row r="10" spans="2:30" ht="14" customHeight="1" thickBot="1">
      <c r="B10" s="56"/>
      <c r="C10" s="319"/>
      <c r="D10" s="320"/>
      <c r="E10" s="320"/>
      <c r="F10" s="320"/>
      <c r="G10" s="320"/>
      <c r="H10" s="322"/>
      <c r="I10" s="323"/>
      <c r="J10" s="323"/>
      <c r="K10" s="27"/>
      <c r="L10" s="20"/>
      <c r="M10" s="16"/>
      <c r="N10" s="16"/>
      <c r="O10" s="16"/>
      <c r="P10" s="25"/>
      <c r="R10" s="25"/>
      <c r="S10" s="25"/>
      <c r="T10" s="25"/>
      <c r="U10" s="25"/>
      <c r="V10" s="25"/>
      <c r="W10" s="25"/>
      <c r="X10" s="25"/>
      <c r="Y10" s="25"/>
      <c r="Z10" s="25"/>
      <c r="AA10" s="25"/>
      <c r="AB10" s="25"/>
      <c r="AC10" s="25"/>
    </row>
    <row r="11" spans="2:30" ht="49" customHeight="1">
      <c r="B11" s="56"/>
      <c r="C11" s="666" t="s">
        <v>218</v>
      </c>
      <c r="D11" s="667"/>
      <c r="E11" s="667"/>
      <c r="F11" s="667"/>
      <c r="G11" s="305"/>
      <c r="H11" s="305"/>
      <c r="I11" s="306" t="s">
        <v>1072</v>
      </c>
      <c r="J11" s="345">
        <v>0.3</v>
      </c>
      <c r="K11" s="27"/>
      <c r="L11" s="20"/>
      <c r="M11" s="16"/>
      <c r="N11" s="16"/>
      <c r="O11" s="16"/>
      <c r="P11" s="25"/>
      <c r="R11" s="25"/>
      <c r="S11" s="25"/>
      <c r="T11" s="25"/>
      <c r="U11" s="25"/>
      <c r="V11" s="25"/>
      <c r="W11" s="25"/>
      <c r="X11" s="25"/>
      <c r="Y11" s="25"/>
      <c r="Z11" s="25"/>
      <c r="AA11" s="25"/>
      <c r="AB11" s="25"/>
      <c r="AC11" s="25"/>
    </row>
    <row r="12" spans="2:30" ht="76.5" customHeight="1" thickBot="1">
      <c r="B12" s="56"/>
      <c r="C12" s="671" t="s">
        <v>1344</v>
      </c>
      <c r="D12" s="672"/>
      <c r="E12" s="672"/>
      <c r="F12" s="672"/>
      <c r="G12" s="672"/>
      <c r="H12" s="672"/>
      <c r="I12" s="672"/>
      <c r="J12" s="673"/>
      <c r="K12" s="27"/>
      <c r="L12" s="20"/>
      <c r="O12" s="25"/>
      <c r="P12" s="25"/>
      <c r="Q12" s="680"/>
      <c r="R12" s="680"/>
      <c r="S12" s="680"/>
      <c r="T12" s="680"/>
      <c r="U12" s="680"/>
      <c r="V12" s="680"/>
      <c r="W12" s="680"/>
      <c r="X12" s="680"/>
      <c r="Y12" s="680"/>
      <c r="Z12" s="25"/>
      <c r="AA12" s="25"/>
      <c r="AB12" s="25"/>
      <c r="AC12" s="25"/>
    </row>
    <row r="13" spans="2:30" ht="55" customHeight="1">
      <c r="B13" s="56"/>
      <c r="C13" s="365" t="s">
        <v>178</v>
      </c>
      <c r="D13" s="308" t="s">
        <v>1316</v>
      </c>
      <c r="E13" s="308" t="s">
        <v>1115</v>
      </c>
      <c r="F13" s="308" t="s">
        <v>1114</v>
      </c>
      <c r="G13" s="309" t="s">
        <v>1110</v>
      </c>
      <c r="H13" s="334"/>
      <c r="I13" s="307" t="s">
        <v>1388</v>
      </c>
      <c r="J13" s="336" t="s">
        <v>1102</v>
      </c>
      <c r="K13" s="27"/>
      <c r="L13" s="20"/>
      <c r="O13" s="25"/>
      <c r="P13" s="25"/>
      <c r="Q13" s="680"/>
      <c r="R13" s="680"/>
      <c r="S13" s="680"/>
      <c r="T13" s="680"/>
      <c r="U13" s="680"/>
      <c r="V13" s="680"/>
      <c r="W13" s="680"/>
      <c r="X13" s="680"/>
      <c r="Y13" s="680"/>
      <c r="Z13" s="25"/>
      <c r="AA13" s="25"/>
      <c r="AB13" s="25"/>
      <c r="AC13" s="25"/>
    </row>
    <row r="14" spans="2:30" ht="54" customHeight="1" thickBot="1">
      <c r="B14" s="56"/>
      <c r="C14" s="266">
        <f>'Área arborizada'!G48</f>
        <v>120</v>
      </c>
      <c r="D14" s="370">
        <f>0.3*'0. Informação Preparatória'!C15-'2. Biodiversidade + I. Verde'!D8</f>
        <v>-130.4141405758599</v>
      </c>
      <c r="E14" s="313">
        <f>C14/D14</f>
        <v>-0.92014561818315888</v>
      </c>
      <c r="F14" s="366">
        <v>0.2</v>
      </c>
      <c r="G14" s="367">
        <v>1</v>
      </c>
      <c r="H14" s="339"/>
      <c r="I14" s="371">
        <f>IF(D14&lt;=0,10,IF(E14&gt;=G14,10,IF(E14&lt;F14,0,(10-2)/(G14-F14)*E14+(10-((10-2)/(G14-F14))*G14))))</f>
        <v>10</v>
      </c>
      <c r="J14" s="372">
        <f>I14*J11</f>
        <v>3</v>
      </c>
      <c r="K14" s="27"/>
      <c r="L14" s="20"/>
      <c r="M14" s="25"/>
      <c r="N14" s="25"/>
      <c r="O14" s="25"/>
      <c r="P14" s="25"/>
      <c r="Q14" s="25"/>
      <c r="R14" s="25"/>
      <c r="S14" s="25"/>
      <c r="T14" s="25"/>
      <c r="U14" s="25"/>
      <c r="V14" s="25"/>
      <c r="W14" s="25"/>
      <c r="X14" s="25"/>
      <c r="Y14" s="25"/>
    </row>
    <row r="15" spans="2:30" ht="107" customHeight="1" thickBot="1">
      <c r="B15" s="56"/>
      <c r="C15" s="317" t="s">
        <v>1154</v>
      </c>
      <c r="D15" s="678" t="s">
        <v>1343</v>
      </c>
      <c r="E15" s="679"/>
      <c r="F15" s="318" t="s">
        <v>1295</v>
      </c>
      <c r="G15" s="684" t="s">
        <v>1309</v>
      </c>
      <c r="H15" s="684"/>
      <c r="I15" s="684"/>
      <c r="J15" s="685"/>
      <c r="K15" s="27"/>
      <c r="L15" s="20"/>
      <c r="M15" s="25"/>
      <c r="N15" s="25"/>
      <c r="O15" s="25"/>
      <c r="P15" s="25"/>
      <c r="Q15" s="25"/>
      <c r="R15" s="25"/>
      <c r="S15" s="25"/>
      <c r="T15" s="25"/>
      <c r="U15" s="25"/>
      <c r="V15" s="25"/>
      <c r="W15" s="25"/>
      <c r="X15" s="25"/>
      <c r="Y15" s="25"/>
    </row>
    <row r="16" spans="2:30" ht="14" customHeight="1" thickBot="1">
      <c r="B16" s="56"/>
      <c r="C16" s="319"/>
      <c r="D16" s="320"/>
      <c r="E16" s="320"/>
      <c r="F16" s="321"/>
      <c r="G16" s="321"/>
      <c r="H16" s="322"/>
      <c r="I16" s="323"/>
      <c r="J16" s="323"/>
      <c r="K16" s="27"/>
      <c r="L16" s="20"/>
      <c r="M16" s="25"/>
      <c r="N16" s="25"/>
      <c r="O16" s="25"/>
      <c r="P16" s="25"/>
      <c r="Q16" s="25"/>
      <c r="R16" s="25"/>
      <c r="S16" s="25"/>
      <c r="T16" s="25"/>
      <c r="U16" s="25"/>
      <c r="V16" s="25"/>
      <c r="W16" s="25"/>
      <c r="X16" s="25"/>
      <c r="Y16" s="25"/>
    </row>
    <row r="17" spans="2:49" ht="51.5" customHeight="1">
      <c r="B17" s="56"/>
      <c r="C17" s="666" t="s">
        <v>1157</v>
      </c>
      <c r="D17" s="667" t="s">
        <v>1049</v>
      </c>
      <c r="E17" s="667" t="s">
        <v>1057</v>
      </c>
      <c r="F17" s="667" t="s">
        <v>1053</v>
      </c>
      <c r="G17" s="305"/>
      <c r="H17" s="305"/>
      <c r="I17" s="306" t="s">
        <v>1072</v>
      </c>
      <c r="J17" s="345">
        <v>0.4</v>
      </c>
      <c r="K17" s="27"/>
      <c r="L17" s="219"/>
      <c r="M17" s="20"/>
      <c r="N17" s="20"/>
      <c r="O17" s="20"/>
      <c r="P17" s="20"/>
      <c r="Q17" s="20"/>
      <c r="R17" s="92"/>
      <c r="S17" s="92"/>
      <c r="T17" s="92"/>
      <c r="U17" s="95"/>
      <c r="V17" s="92"/>
      <c r="W17" s="92"/>
      <c r="X17" s="20"/>
      <c r="Y17" s="20"/>
      <c r="AB17" s="31"/>
      <c r="AD17" s="22"/>
      <c r="AI17" s="30"/>
      <c r="AJ17" s="32"/>
      <c r="AK17" s="33"/>
      <c r="AM17" s="23"/>
      <c r="AN17" s="155"/>
      <c r="AO17" s="34"/>
      <c r="AP17" s="24"/>
    </row>
    <row r="18" spans="2:49" ht="87.5" customHeight="1" thickBot="1">
      <c r="B18" s="56"/>
      <c r="C18" s="671" t="s">
        <v>1346</v>
      </c>
      <c r="D18" s="672">
        <v>290000</v>
      </c>
      <c r="E18" s="672" t="s">
        <v>1058</v>
      </c>
      <c r="F18" s="672">
        <v>100</v>
      </c>
      <c r="G18" s="672">
        <v>72</v>
      </c>
      <c r="H18" s="672" t="s">
        <v>1059</v>
      </c>
      <c r="I18" s="672"/>
      <c r="J18" s="670">
        <v>100</v>
      </c>
      <c r="K18" s="27"/>
      <c r="L18" s="20"/>
      <c r="M18" s="20"/>
      <c r="N18" s="20"/>
      <c r="O18" s="20"/>
      <c r="P18" s="20"/>
      <c r="Q18" s="20"/>
      <c r="R18" s="20"/>
      <c r="S18" s="79"/>
      <c r="T18" s="95"/>
      <c r="U18" s="70"/>
      <c r="V18" s="70"/>
      <c r="X18" s="24"/>
      <c r="Y18" s="680"/>
      <c r="Z18" s="680"/>
      <c r="AA18" s="680"/>
      <c r="AB18" s="680"/>
      <c r="AC18" s="680"/>
      <c r="AD18" s="680"/>
      <c r="AE18" s="680"/>
      <c r="AF18" s="680"/>
      <c r="AG18" s="680"/>
      <c r="AM18" s="30"/>
      <c r="AN18" s="33"/>
      <c r="AP18" s="28"/>
      <c r="AQ18" s="35"/>
      <c r="AR18" s="36"/>
      <c r="AS18" s="24"/>
      <c r="AT18" s="37"/>
      <c r="AV18" s="28"/>
      <c r="AW18" s="28"/>
    </row>
    <row r="19" spans="2:49" ht="40.5" customHeight="1">
      <c r="B19" s="148"/>
      <c r="C19" s="307" t="s">
        <v>235</v>
      </c>
      <c r="D19" s="308" t="s">
        <v>1317</v>
      </c>
      <c r="E19" s="308" t="s">
        <v>1345</v>
      </c>
      <c r="F19" s="308" t="s">
        <v>163</v>
      </c>
      <c r="G19" s="308" t="s">
        <v>1118</v>
      </c>
      <c r="H19" s="308" t="s">
        <v>162</v>
      </c>
      <c r="I19" s="307" t="s">
        <v>115</v>
      </c>
      <c r="J19" s="688" t="s">
        <v>1102</v>
      </c>
      <c r="K19" s="153"/>
      <c r="L19" s="95"/>
      <c r="M19" s="70"/>
      <c r="N19" s="70"/>
      <c r="Q19" s="156"/>
      <c r="R19" s="156"/>
      <c r="S19" s="156"/>
      <c r="T19" s="156"/>
      <c r="U19" s="156"/>
      <c r="V19" s="156"/>
      <c r="W19" s="156"/>
      <c r="X19" s="156"/>
      <c r="Y19" s="156"/>
      <c r="AE19" s="30"/>
      <c r="AF19" s="33"/>
      <c r="AH19" s="28"/>
      <c r="AI19" s="35"/>
      <c r="AJ19" s="36"/>
      <c r="AK19" s="24"/>
      <c r="AL19" s="37"/>
      <c r="AN19" s="28"/>
      <c r="AO19" s="28"/>
    </row>
    <row r="20" spans="2:49" ht="40.5" customHeight="1" thickBot="1">
      <c r="B20" s="56"/>
      <c r="C20" s="176">
        <v>300</v>
      </c>
      <c r="D20" s="370">
        <f>0.7*'0. Informação Preparatória'!C15</f>
        <v>210</v>
      </c>
      <c r="E20" s="313">
        <f>IF(C20/D20&gt;1,1,(C20/D20))</f>
        <v>1</v>
      </c>
      <c r="F20" s="177" t="s">
        <v>139</v>
      </c>
      <c r="G20" s="347">
        <f>IF(F20="SIM",3,0)</f>
        <v>3</v>
      </c>
      <c r="H20" s="178" t="s">
        <v>139</v>
      </c>
      <c r="I20" s="373">
        <f>IF(H20="SIM",1,0)</f>
        <v>1</v>
      </c>
      <c r="J20" s="689"/>
      <c r="K20" s="153"/>
      <c r="L20" s="95"/>
      <c r="M20" s="70"/>
      <c r="N20" s="70"/>
      <c r="Q20" s="156"/>
      <c r="R20" s="156"/>
      <c r="S20" s="156"/>
      <c r="T20" s="156"/>
      <c r="U20" s="156"/>
      <c r="V20" s="156"/>
      <c r="W20" s="156"/>
      <c r="X20" s="156"/>
      <c r="Y20" s="156"/>
      <c r="AE20" s="30"/>
      <c r="AF20" s="33"/>
      <c r="AH20" s="28"/>
      <c r="AI20" s="35"/>
      <c r="AJ20" s="36"/>
      <c r="AK20" s="24"/>
      <c r="AL20" s="37"/>
      <c r="AN20" s="28"/>
      <c r="AO20" s="28"/>
    </row>
    <row r="21" spans="2:49" ht="72" customHeight="1">
      <c r="B21" s="56"/>
      <c r="C21" s="375"/>
      <c r="D21" s="376"/>
      <c r="E21" s="374"/>
      <c r="F21" s="377"/>
      <c r="G21" s="307" t="s">
        <v>161</v>
      </c>
      <c r="H21" s="308" t="s">
        <v>1119</v>
      </c>
      <c r="I21" s="309" t="s">
        <v>1387</v>
      </c>
      <c r="J21" s="686">
        <f>J17*I22</f>
        <v>4</v>
      </c>
      <c r="K21" s="153"/>
      <c r="L21" s="95"/>
      <c r="M21" s="70"/>
      <c r="N21" s="70"/>
      <c r="Q21" s="170"/>
      <c r="R21" s="170"/>
      <c r="S21" s="170"/>
      <c r="T21" s="170"/>
      <c r="U21" s="170"/>
      <c r="V21" s="170"/>
      <c r="W21" s="170"/>
      <c r="X21" s="170"/>
      <c r="Y21" s="170"/>
      <c r="AE21" s="30"/>
      <c r="AF21" s="33"/>
      <c r="AH21" s="28"/>
      <c r="AI21" s="35"/>
      <c r="AJ21" s="36"/>
      <c r="AK21" s="24"/>
      <c r="AL21" s="37"/>
      <c r="AN21" s="28"/>
      <c r="AO21" s="28"/>
    </row>
    <row r="22" spans="2:49" ht="40.5" customHeight="1" thickBot="1">
      <c r="B22" s="56"/>
      <c r="C22" s="375"/>
      <c r="D22" s="376"/>
      <c r="E22" s="374"/>
      <c r="F22" s="377"/>
      <c r="G22" s="268" t="s">
        <v>139</v>
      </c>
      <c r="H22" s="331">
        <f>IF(G22="SIM",1,0)</f>
        <v>1</v>
      </c>
      <c r="I22" s="360">
        <f>5*E20+G20+I20+H22</f>
        <v>10</v>
      </c>
      <c r="J22" s="687"/>
      <c r="K22" s="153"/>
      <c r="L22" s="95"/>
      <c r="M22" s="70"/>
      <c r="N22" s="70"/>
      <c r="Q22" s="170"/>
      <c r="R22" s="170"/>
      <c r="S22" s="170"/>
      <c r="T22" s="170"/>
      <c r="U22" s="170"/>
      <c r="V22" s="170"/>
      <c r="W22" s="170"/>
      <c r="X22" s="170"/>
      <c r="Y22" s="170"/>
      <c r="AE22" s="30"/>
      <c r="AF22" s="33"/>
      <c r="AH22" s="28"/>
      <c r="AI22" s="35"/>
      <c r="AJ22" s="36"/>
      <c r="AK22" s="24"/>
      <c r="AL22" s="37"/>
      <c r="AN22" s="28"/>
      <c r="AO22" s="28"/>
    </row>
    <row r="23" spans="2:49" ht="151.5" customHeight="1" thickBot="1">
      <c r="B23" s="56"/>
      <c r="C23" s="317" t="s">
        <v>1154</v>
      </c>
      <c r="D23" s="678" t="s">
        <v>1347</v>
      </c>
      <c r="E23" s="679"/>
      <c r="F23" s="318" t="s">
        <v>1295</v>
      </c>
      <c r="G23" s="684" t="s">
        <v>1310</v>
      </c>
      <c r="H23" s="684"/>
      <c r="I23" s="684"/>
      <c r="J23" s="685"/>
      <c r="K23" s="153"/>
      <c r="L23" s="95"/>
      <c r="M23" s="70"/>
      <c r="N23" s="70"/>
      <c r="Q23" s="172"/>
      <c r="R23" s="172"/>
      <c r="S23" s="172"/>
      <c r="T23" s="172"/>
      <c r="U23" s="172"/>
      <c r="V23" s="172"/>
      <c r="W23" s="172"/>
      <c r="X23" s="172"/>
      <c r="Y23" s="172"/>
      <c r="AE23" s="30"/>
      <c r="AF23" s="33"/>
      <c r="AH23" s="28"/>
      <c r="AI23" s="35"/>
      <c r="AJ23" s="36"/>
      <c r="AK23" s="24"/>
      <c r="AL23" s="37"/>
      <c r="AN23" s="28"/>
      <c r="AO23" s="28"/>
    </row>
    <row r="24" spans="2:49" ht="14" customHeight="1" thickBot="1">
      <c r="B24" s="56"/>
      <c r="C24" s="319"/>
      <c r="D24" s="320"/>
      <c r="E24" s="320"/>
      <c r="F24" s="321"/>
      <c r="G24" s="321"/>
      <c r="H24" s="322"/>
      <c r="I24" s="323"/>
      <c r="J24" s="323"/>
      <c r="K24" s="153"/>
      <c r="L24" s="95"/>
      <c r="M24" s="70"/>
      <c r="N24" s="70"/>
      <c r="Q24" s="172"/>
      <c r="R24" s="172"/>
      <c r="S24" s="172"/>
      <c r="T24" s="172"/>
      <c r="U24" s="172"/>
      <c r="V24" s="172"/>
      <c r="W24" s="172"/>
      <c r="X24" s="172"/>
      <c r="Y24" s="172"/>
      <c r="AE24" s="30"/>
      <c r="AF24" s="33"/>
      <c r="AH24" s="28"/>
      <c r="AI24" s="35"/>
      <c r="AJ24" s="36"/>
      <c r="AK24" s="24"/>
      <c r="AL24" s="37"/>
      <c r="AN24" s="28"/>
      <c r="AO24" s="28"/>
    </row>
    <row r="25" spans="2:49" ht="40.5" customHeight="1">
      <c r="B25" s="148"/>
      <c r="C25" s="666" t="s">
        <v>252</v>
      </c>
      <c r="D25" s="667" t="s">
        <v>139</v>
      </c>
      <c r="E25" s="667" t="s">
        <v>139</v>
      </c>
      <c r="F25" s="667" t="s">
        <v>139</v>
      </c>
      <c r="G25" s="305"/>
      <c r="H25" s="305"/>
      <c r="I25" s="306" t="s">
        <v>1072</v>
      </c>
      <c r="J25" s="345">
        <v>0.1</v>
      </c>
      <c r="K25" s="153"/>
      <c r="L25" s="95"/>
      <c r="M25" s="70"/>
      <c r="N25" s="70"/>
      <c r="Q25" s="156"/>
      <c r="R25" s="156"/>
      <c r="S25" s="156"/>
      <c r="T25" s="156"/>
      <c r="U25" s="156"/>
      <c r="V25" s="156"/>
      <c r="W25" s="156"/>
      <c r="X25" s="156"/>
      <c r="Y25" s="156"/>
      <c r="AE25" s="30"/>
      <c r="AF25" s="33"/>
      <c r="AH25" s="28"/>
      <c r="AI25" s="35"/>
      <c r="AJ25" s="36"/>
      <c r="AK25" s="24"/>
      <c r="AL25" s="37"/>
      <c r="AN25" s="28"/>
      <c r="AO25" s="28"/>
    </row>
    <row r="26" spans="2:49" ht="64.5" customHeight="1" thickBot="1">
      <c r="B26" s="148"/>
      <c r="C26" s="668" t="s">
        <v>1349</v>
      </c>
      <c r="D26" s="669"/>
      <c r="E26" s="669"/>
      <c r="F26" s="672"/>
      <c r="G26" s="672"/>
      <c r="H26" s="672"/>
      <c r="I26" s="672"/>
      <c r="J26" s="670"/>
      <c r="K26" s="153"/>
      <c r="L26" s="95"/>
      <c r="M26" s="70"/>
      <c r="N26" s="70"/>
      <c r="Q26" s="156"/>
      <c r="R26" s="156"/>
      <c r="S26" s="156"/>
      <c r="T26" s="156"/>
      <c r="U26" s="156"/>
      <c r="V26" s="156"/>
      <c r="W26" s="156"/>
      <c r="X26" s="156"/>
      <c r="Y26" s="156"/>
      <c r="AE26" s="30"/>
      <c r="AF26" s="33"/>
      <c r="AH26" s="28"/>
      <c r="AI26" s="35"/>
      <c r="AJ26" s="36"/>
      <c r="AK26" s="24"/>
      <c r="AL26" s="37"/>
      <c r="AN26" s="28"/>
      <c r="AO26" s="28"/>
    </row>
    <row r="27" spans="2:49" ht="40.5" customHeight="1">
      <c r="B27" s="148"/>
      <c r="C27" s="324" t="s">
        <v>1319</v>
      </c>
      <c r="D27" s="308" t="s">
        <v>1318</v>
      </c>
      <c r="E27" s="378" t="s">
        <v>1348</v>
      </c>
      <c r="F27" s="376"/>
      <c r="G27" s="376"/>
      <c r="H27" s="376"/>
      <c r="I27" s="311" t="s">
        <v>1390</v>
      </c>
      <c r="J27" s="312" t="s">
        <v>1102</v>
      </c>
      <c r="K27" s="153"/>
      <c r="L27" s="95"/>
      <c r="M27" s="70"/>
      <c r="N27" s="70"/>
      <c r="Q27" s="156"/>
      <c r="R27" s="156"/>
      <c r="S27" s="156"/>
      <c r="T27" s="156"/>
      <c r="U27" s="156"/>
      <c r="V27" s="156"/>
      <c r="W27" s="156"/>
      <c r="X27" s="156"/>
      <c r="Y27" s="156"/>
      <c r="AE27" s="30"/>
      <c r="AF27" s="33"/>
      <c r="AH27" s="28"/>
      <c r="AI27" s="35"/>
      <c r="AJ27" s="36"/>
      <c r="AK27" s="24"/>
      <c r="AL27" s="37"/>
      <c r="AN27" s="28"/>
      <c r="AO27" s="28"/>
    </row>
    <row r="28" spans="2:49" ht="40.5" customHeight="1" thickBot="1">
      <c r="B28" s="148"/>
      <c r="C28" s="100">
        <v>1000</v>
      </c>
      <c r="D28" s="379">
        <f>'0. Informação Preparatória'!D15*0.7</f>
        <v>560</v>
      </c>
      <c r="E28" s="314">
        <f>IF(C28/D28&gt;=1,1,C28/D28)</f>
        <v>1</v>
      </c>
      <c r="F28" s="376"/>
      <c r="G28" s="376"/>
      <c r="H28" s="376"/>
      <c r="I28" s="360">
        <f>E28*10</f>
        <v>10</v>
      </c>
      <c r="J28" s="316">
        <f>J25*I28</f>
        <v>1</v>
      </c>
      <c r="K28" s="153"/>
      <c r="L28" s="95"/>
      <c r="M28" s="70"/>
      <c r="N28" s="70"/>
      <c r="Q28" s="156"/>
      <c r="R28" s="156"/>
      <c r="S28" s="156"/>
      <c r="T28" s="156"/>
      <c r="U28" s="156"/>
      <c r="V28" s="156"/>
      <c r="W28" s="156"/>
      <c r="X28" s="156"/>
      <c r="Y28" s="156"/>
      <c r="AE28" s="30"/>
      <c r="AF28" s="33"/>
      <c r="AH28" s="28"/>
      <c r="AI28" s="35"/>
      <c r="AJ28" s="36"/>
      <c r="AK28" s="24"/>
      <c r="AL28" s="37"/>
      <c r="AN28" s="28"/>
      <c r="AO28" s="28"/>
    </row>
    <row r="29" spans="2:49" ht="147.5" customHeight="1" thickBot="1">
      <c r="B29" s="148"/>
      <c r="C29" s="317" t="s">
        <v>1154</v>
      </c>
      <c r="D29" s="678" t="s">
        <v>1347</v>
      </c>
      <c r="E29" s="679"/>
      <c r="F29" s="318" t="s">
        <v>1295</v>
      </c>
      <c r="G29" s="684" t="s">
        <v>1373</v>
      </c>
      <c r="H29" s="684"/>
      <c r="I29" s="684"/>
      <c r="J29" s="685"/>
      <c r="K29" s="153"/>
      <c r="L29" s="95"/>
      <c r="M29" s="70"/>
      <c r="N29" s="70"/>
      <c r="Q29" s="172"/>
      <c r="R29" s="172"/>
      <c r="S29" s="172"/>
      <c r="T29" s="172"/>
      <c r="U29" s="172"/>
      <c r="V29" s="172"/>
      <c r="W29" s="172"/>
      <c r="X29" s="172"/>
      <c r="Y29" s="172"/>
      <c r="AE29" s="30"/>
      <c r="AF29" s="33"/>
      <c r="AH29" s="28"/>
      <c r="AI29" s="35"/>
      <c r="AJ29" s="36"/>
      <c r="AK29" s="24"/>
      <c r="AL29" s="37"/>
      <c r="AN29" s="28"/>
      <c r="AO29" s="28"/>
    </row>
    <row r="30" spans="2:49" ht="14" customHeight="1">
      <c r="B30" s="148"/>
      <c r="C30" s="150"/>
      <c r="D30" s="150"/>
      <c r="E30" s="150"/>
      <c r="F30" s="150"/>
      <c r="G30" s="150"/>
      <c r="H30" s="150"/>
      <c r="I30" s="150"/>
      <c r="J30" s="29"/>
      <c r="K30" s="153"/>
      <c r="L30" s="95"/>
      <c r="M30" s="70"/>
      <c r="N30" s="70"/>
      <c r="Q30" s="680"/>
      <c r="R30" s="680"/>
      <c r="S30" s="680"/>
      <c r="T30" s="680"/>
      <c r="U30" s="680"/>
      <c r="V30" s="680"/>
      <c r="W30" s="680"/>
      <c r="X30" s="680"/>
      <c r="Y30" s="680"/>
      <c r="AH30" s="23"/>
      <c r="AI30" s="22"/>
      <c r="AJ30" s="39">
        <v>100</v>
      </c>
      <c r="AK30" s="22"/>
    </row>
    <row r="31" spans="2:49" ht="40.5" customHeight="1">
      <c r="C31" s="73"/>
      <c r="D31" s="73"/>
      <c r="E31" s="73"/>
      <c r="F31" s="73"/>
      <c r="G31" s="73"/>
      <c r="H31" s="87"/>
      <c r="I31" s="87"/>
      <c r="J31" s="74"/>
      <c r="K31" s="79"/>
      <c r="L31" s="75"/>
      <c r="M31" s="70"/>
      <c r="N31" s="75"/>
      <c r="O31" s="665"/>
      <c r="S31" s="38"/>
      <c r="T31" s="38"/>
      <c r="U31" s="38"/>
      <c r="V31" s="38"/>
      <c r="W31" s="38"/>
      <c r="AH31" s="23"/>
      <c r="AI31" s="22"/>
      <c r="AJ31" s="39"/>
      <c r="AK31" s="22"/>
    </row>
    <row r="32" spans="2:49" ht="40.5" customHeight="1">
      <c r="C32" s="73"/>
      <c r="D32" s="73"/>
      <c r="E32" s="73"/>
      <c r="F32" s="73"/>
      <c r="G32" s="85"/>
      <c r="H32" s="74"/>
      <c r="I32" s="74"/>
      <c r="J32" s="74"/>
      <c r="K32" s="79"/>
      <c r="L32" s="71"/>
      <c r="M32" s="70"/>
      <c r="N32" s="69"/>
      <c r="O32" s="665"/>
      <c r="S32" s="38"/>
      <c r="T32" s="38"/>
      <c r="U32" s="38"/>
      <c r="V32" s="38"/>
      <c r="W32" s="38"/>
      <c r="AH32" s="23"/>
      <c r="AI32" s="22"/>
      <c r="AJ32" s="39"/>
      <c r="AK32" s="22"/>
    </row>
    <row r="33" spans="3:37" ht="40.5" customHeight="1">
      <c r="C33" s="73"/>
      <c r="D33" s="73"/>
      <c r="E33" s="73"/>
      <c r="F33" s="73"/>
      <c r="G33" s="73"/>
      <c r="H33" s="73"/>
      <c r="I33" s="73"/>
      <c r="J33" s="73"/>
      <c r="K33" s="79"/>
      <c r="L33" s="75"/>
      <c r="M33" s="70"/>
      <c r="N33" s="75"/>
      <c r="O33" s="512"/>
      <c r="S33" s="38"/>
      <c r="T33" s="38"/>
      <c r="U33" s="38"/>
      <c r="V33" s="38"/>
      <c r="W33" s="38"/>
      <c r="AH33" s="23"/>
      <c r="AI33" s="22"/>
      <c r="AJ33" s="39"/>
      <c r="AK33" s="22"/>
    </row>
    <row r="34" spans="3:37" ht="40.5" customHeight="1">
      <c r="C34" s="73"/>
      <c r="D34" s="73"/>
      <c r="E34" s="73"/>
      <c r="F34" s="73"/>
      <c r="G34" s="77"/>
      <c r="H34" s="84"/>
      <c r="I34" s="84"/>
      <c r="J34" s="73"/>
      <c r="K34" s="79"/>
      <c r="L34" s="71"/>
      <c r="M34" s="70"/>
      <c r="N34" s="69"/>
      <c r="O34" s="512"/>
      <c r="S34" s="38"/>
      <c r="T34" s="38"/>
      <c r="U34" s="38"/>
      <c r="V34" s="38"/>
      <c r="W34" s="38"/>
      <c r="AH34" s="23"/>
      <c r="AI34" s="22"/>
      <c r="AJ34" s="39"/>
      <c r="AK34" s="22"/>
    </row>
    <row r="35" spans="3:37" ht="40.5" customHeight="1">
      <c r="C35" s="73"/>
      <c r="D35" s="73"/>
      <c r="E35" s="73"/>
      <c r="F35" s="73"/>
      <c r="G35" s="73"/>
      <c r="H35" s="73"/>
      <c r="I35" s="73"/>
      <c r="J35" s="73"/>
      <c r="K35" s="79"/>
      <c r="L35" s="75"/>
      <c r="M35" s="70"/>
      <c r="N35" s="75"/>
      <c r="O35" s="512"/>
      <c r="S35" s="38"/>
      <c r="T35" s="38"/>
      <c r="U35" s="38"/>
      <c r="V35" s="38"/>
      <c r="W35" s="38"/>
      <c r="AH35" s="23"/>
      <c r="AI35" s="22"/>
      <c r="AJ35" s="39"/>
      <c r="AK35" s="22"/>
    </row>
    <row r="36" spans="3:37" ht="40.5" customHeight="1">
      <c r="C36" s="73"/>
      <c r="D36" s="73"/>
      <c r="E36" s="73"/>
      <c r="F36" s="73"/>
      <c r="G36" s="82"/>
      <c r="H36" s="81"/>
      <c r="I36" s="81"/>
      <c r="J36" s="81"/>
      <c r="K36" s="79"/>
      <c r="L36" s="71"/>
      <c r="M36" s="70"/>
      <c r="N36" s="69"/>
      <c r="O36" s="512"/>
      <c r="S36" s="38"/>
      <c r="T36" s="38"/>
      <c r="U36" s="38"/>
      <c r="V36" s="38"/>
      <c r="W36" s="38"/>
      <c r="AH36" s="23"/>
      <c r="AI36" s="22"/>
      <c r="AJ36" s="39"/>
      <c r="AK36" s="22"/>
    </row>
    <row r="37" spans="3:37" ht="40.5" customHeight="1">
      <c r="C37" s="513"/>
      <c r="D37" s="73"/>
      <c r="E37" s="73"/>
      <c r="F37" s="73"/>
      <c r="G37" s="73"/>
      <c r="H37" s="73"/>
      <c r="I37" s="73"/>
      <c r="J37" s="73"/>
      <c r="K37" s="79"/>
      <c r="L37" s="75"/>
      <c r="M37" s="70"/>
      <c r="N37" s="75"/>
      <c r="O37" s="512"/>
      <c r="S37" s="38"/>
      <c r="T37" s="38"/>
      <c r="U37" s="38"/>
      <c r="V37" s="38"/>
      <c r="W37" s="38"/>
      <c r="AH37" s="23"/>
      <c r="AI37" s="22"/>
      <c r="AJ37" s="39"/>
      <c r="AK37" s="22"/>
    </row>
    <row r="38" spans="3:37" ht="40.5" customHeight="1">
      <c r="C38" s="513"/>
      <c r="D38" s="74"/>
      <c r="E38" s="73"/>
      <c r="F38" s="74"/>
      <c r="G38" s="77"/>
      <c r="H38" s="76"/>
      <c r="I38" s="76"/>
      <c r="J38" s="73"/>
      <c r="K38" s="79"/>
      <c r="L38" s="71"/>
      <c r="M38" s="70"/>
      <c r="N38" s="69"/>
      <c r="O38" s="512"/>
      <c r="S38" s="38"/>
      <c r="T38" s="38"/>
      <c r="U38" s="38"/>
      <c r="V38" s="38"/>
      <c r="W38" s="38"/>
      <c r="AH38" s="23"/>
      <c r="AI38" s="22"/>
      <c r="AJ38" s="39"/>
      <c r="AK38" s="22"/>
    </row>
    <row r="39" spans="3:37" ht="40.5" customHeight="1">
      <c r="C39" s="513"/>
      <c r="D39" s="73"/>
      <c r="E39" s="73"/>
      <c r="F39" s="73"/>
      <c r="G39" s="73"/>
      <c r="H39" s="73"/>
      <c r="I39" s="73"/>
      <c r="J39" s="73"/>
      <c r="K39" s="79"/>
      <c r="L39" s="75"/>
      <c r="M39" s="70"/>
      <c r="N39" s="75"/>
      <c r="O39" s="86"/>
      <c r="S39" s="38"/>
      <c r="T39" s="38"/>
      <c r="U39" s="38"/>
      <c r="V39" s="38"/>
      <c r="W39" s="38"/>
      <c r="AH39" s="23"/>
      <c r="AI39" s="22"/>
      <c r="AJ39" s="39"/>
      <c r="AK39" s="22"/>
    </row>
    <row r="40" spans="3:37" ht="40.5" customHeight="1">
      <c r="C40" s="513"/>
      <c r="D40" s="74"/>
      <c r="E40" s="74"/>
      <c r="F40" s="74"/>
      <c r="G40" s="74"/>
      <c r="H40" s="76"/>
      <c r="I40" s="76"/>
      <c r="J40" s="73"/>
      <c r="K40" s="79"/>
      <c r="L40" s="71"/>
      <c r="M40" s="70"/>
      <c r="N40" s="69"/>
      <c r="O40" s="512"/>
      <c r="S40" s="22" t="s">
        <v>55</v>
      </c>
      <c r="T40" s="24"/>
      <c r="U40" s="38"/>
      <c r="V40" s="38"/>
      <c r="W40" s="38"/>
      <c r="AH40" s="23"/>
      <c r="AI40" s="22"/>
      <c r="AJ40" s="39"/>
      <c r="AK40" s="22"/>
    </row>
    <row r="41" spans="3:37" ht="40.5" customHeight="1">
      <c r="C41" s="513"/>
      <c r="D41" s="73"/>
      <c r="E41" s="73"/>
      <c r="F41" s="73"/>
      <c r="G41" s="73"/>
      <c r="H41" s="73"/>
      <c r="I41" s="73"/>
      <c r="J41" s="73"/>
      <c r="K41" s="70"/>
      <c r="L41" s="75"/>
      <c r="M41" s="70"/>
      <c r="N41" s="75"/>
      <c r="O41" s="512"/>
      <c r="Q41" s="22"/>
      <c r="R41" s="22"/>
      <c r="S41" s="57" t="s">
        <v>39</v>
      </c>
      <c r="T41" s="57" t="s">
        <v>56</v>
      </c>
      <c r="V41" s="16"/>
      <c r="W41" s="16"/>
      <c r="Y41" s="16"/>
    </row>
    <row r="42" spans="3:37" ht="40.5" customHeight="1">
      <c r="C42" s="513"/>
      <c r="D42" s="74"/>
      <c r="E42" s="74"/>
      <c r="F42" s="74"/>
      <c r="G42" s="74"/>
      <c r="H42" s="76"/>
      <c r="I42" s="76"/>
      <c r="J42" s="73"/>
      <c r="K42" s="70"/>
      <c r="L42" s="71"/>
      <c r="M42" s="70"/>
      <c r="N42" s="69"/>
      <c r="O42" s="512"/>
      <c r="Q42" s="22"/>
      <c r="R42" s="22"/>
      <c r="S42" s="57" t="s">
        <v>4</v>
      </c>
      <c r="T42" s="57" t="s">
        <v>57</v>
      </c>
      <c r="U42" s="157"/>
      <c r="V42" s="16"/>
      <c r="W42" s="16"/>
      <c r="Y42" s="16"/>
    </row>
    <row r="43" spans="3:37" ht="45" customHeight="1">
      <c r="C43" s="513"/>
      <c r="D43" s="73"/>
      <c r="E43" s="73"/>
      <c r="F43" s="73"/>
      <c r="G43" s="73"/>
      <c r="H43" s="73"/>
      <c r="I43" s="73"/>
      <c r="J43" s="73"/>
      <c r="K43" s="83"/>
      <c r="L43" s="75"/>
      <c r="M43" s="70"/>
      <c r="N43" s="75"/>
      <c r="O43" s="512"/>
      <c r="Q43" s="22"/>
      <c r="S43" s="57" t="s">
        <v>51</v>
      </c>
      <c r="U43" s="16"/>
      <c r="V43" s="16"/>
      <c r="W43" s="16"/>
      <c r="Y43" s="16"/>
    </row>
    <row r="44" spans="3:37" ht="26" customHeight="1">
      <c r="C44" s="513"/>
      <c r="D44" s="74"/>
      <c r="E44" s="74"/>
      <c r="F44" s="74"/>
      <c r="G44" s="77"/>
      <c r="H44" s="76"/>
      <c r="I44" s="76"/>
      <c r="J44" s="73"/>
      <c r="K44" s="70"/>
      <c r="L44" s="71"/>
      <c r="M44" s="70"/>
      <c r="N44" s="69"/>
      <c r="O44" s="512"/>
      <c r="Q44" s="22"/>
      <c r="R44" s="22"/>
      <c r="S44" s="58" t="s">
        <v>3</v>
      </c>
      <c r="T44" s="16"/>
      <c r="V44" s="16"/>
      <c r="Y44" s="16"/>
    </row>
    <row r="45" spans="3:37" ht="45" customHeight="1">
      <c r="C45" s="513"/>
      <c r="D45" s="73"/>
      <c r="E45" s="73"/>
      <c r="F45" s="73"/>
      <c r="G45" s="73"/>
      <c r="H45" s="73"/>
      <c r="I45" s="73"/>
      <c r="J45" s="73"/>
      <c r="K45" s="80"/>
      <c r="L45" s="75"/>
      <c r="M45" s="70"/>
      <c r="N45" s="75"/>
      <c r="O45" s="512"/>
      <c r="S45" s="57" t="s">
        <v>52</v>
      </c>
      <c r="T45" s="24"/>
    </row>
    <row r="46" spans="3:37" ht="45" customHeight="1">
      <c r="C46" s="513"/>
      <c r="D46" s="74"/>
      <c r="E46" s="74"/>
      <c r="F46" s="74"/>
      <c r="G46" s="74"/>
      <c r="H46" s="74"/>
      <c r="I46" s="74"/>
      <c r="J46" s="73"/>
      <c r="K46" s="79"/>
      <c r="L46" s="71"/>
      <c r="M46" s="70"/>
      <c r="N46" s="69"/>
      <c r="O46" s="512"/>
      <c r="S46" s="57" t="s">
        <v>53</v>
      </c>
      <c r="T46" s="24"/>
    </row>
    <row r="47" spans="3:37" ht="45" customHeight="1">
      <c r="K47" s="79"/>
      <c r="L47" s="75"/>
      <c r="M47" s="70"/>
      <c r="N47" s="75"/>
      <c r="O47" s="78"/>
    </row>
    <row r="48" spans="3:37" ht="45" customHeight="1">
      <c r="K48" s="70"/>
      <c r="L48" s="71"/>
      <c r="M48" s="70"/>
      <c r="N48" s="69"/>
      <c r="O48" s="512"/>
    </row>
    <row r="49" spans="11:15" ht="45" customHeight="1">
      <c r="K49" s="70"/>
      <c r="L49" s="75"/>
      <c r="M49" s="70"/>
      <c r="N49" s="75"/>
      <c r="O49" s="512"/>
    </row>
    <row r="50" spans="11:15" ht="45" customHeight="1">
      <c r="K50" s="70"/>
      <c r="L50" s="71"/>
      <c r="M50" s="70"/>
      <c r="N50" s="69"/>
      <c r="O50" s="512"/>
    </row>
    <row r="51" spans="11:15" ht="45" customHeight="1">
      <c r="K51" s="70"/>
      <c r="L51" s="75"/>
      <c r="M51" s="70"/>
      <c r="N51" s="75"/>
      <c r="O51" s="512"/>
    </row>
    <row r="52" spans="11:15" ht="45" customHeight="1">
      <c r="K52" s="70"/>
      <c r="L52" s="71"/>
      <c r="M52" s="70"/>
      <c r="N52" s="69"/>
      <c r="O52" s="512"/>
    </row>
    <row r="53" spans="11:15" ht="45" customHeight="1">
      <c r="K53" s="70"/>
      <c r="L53" s="75"/>
      <c r="M53" s="70"/>
      <c r="N53" s="75"/>
      <c r="O53" s="512"/>
    </row>
    <row r="54" spans="11:15" ht="45" customHeight="1">
      <c r="K54" s="70"/>
      <c r="L54" s="71"/>
      <c r="M54" s="70"/>
      <c r="N54" s="69"/>
      <c r="O54" s="512"/>
    </row>
  </sheetData>
  <sheetProtection algorithmName="SHA-512" hashValue="Mw966pmq1mqf2PHSqkSW3MiFvpgRGzfUtHtHSSKrhNZ/TV9+/Uu/a4KPAYX5AxWqCUfxWZwynCEMH32oHUEUKg==" saltValue="Jeb9Cn2DWJJarvB29B+G7A==" spinCount="100000" sheet="1" objects="1" scenarios="1"/>
  <protectedRanges>
    <protectedRange algorithmName="SHA-512" hashValue="zYecIPhrCOylVCLRChOCMNuO8udmVnDgHasvlrHw6+ul/Tc2T9aYYBE+PRTod6Zo/EeQvz/9UHw5ElwwYA+xkA==" saltValue="RLJQ7kO2K1LbThr9VSQZpw==" spinCount="100000" sqref="D34:E34 D36:E36" name="Condic_Precip"/>
    <protectedRange algorithmName="SHA-512" hashValue="Vg7XQXu1plkFz98tl3LY5UU83Qoso1WeBFey7DFiKNhrJ3pCoe2PEgjUZ4AJ+V7IsAPcQmQp/Mc+8dJ4axR5dg==" saltValue="ZolWhvgmqazzPhi23WvcUw==" spinCount="100000" sqref="E5 I25 D14:E14 I5 E8 I11 I17 G26:G28 E11:F11 G6" name="Indice Impermeabilidade"/>
    <protectedRange algorithmName="SHA-512" hashValue="/r1qI6/O6xMYahbso8mdc891jWdagJVeuNyGt6l2GzJA22nNxx87B/9fCl7ETjzLamn3PfpyeySr9WPB+Vs3Mw==" saltValue="JEORqHnTcd09VfkfRVbzIA==" spinCount="100000" sqref="O7:O11" name="Usos do Solo"/>
  </protectedRanges>
  <mergeCells count="35">
    <mergeCell ref="O48:O54"/>
    <mergeCell ref="C41:C42"/>
    <mergeCell ref="C43:C44"/>
    <mergeCell ref="C45:C46"/>
    <mergeCell ref="C39:C40"/>
    <mergeCell ref="O40:O46"/>
    <mergeCell ref="O31:O32"/>
    <mergeCell ref="O33:O38"/>
    <mergeCell ref="C37:C38"/>
    <mergeCell ref="C17:F17"/>
    <mergeCell ref="D23:E23"/>
    <mergeCell ref="D29:E29"/>
    <mergeCell ref="G23:J23"/>
    <mergeCell ref="G29:J29"/>
    <mergeCell ref="Q30:Y30"/>
    <mergeCell ref="C25:F25"/>
    <mergeCell ref="J21:J22"/>
    <mergeCell ref="J19:J20"/>
    <mergeCell ref="C26:J26"/>
    <mergeCell ref="D1:K1"/>
    <mergeCell ref="C12:J12"/>
    <mergeCell ref="C18:J18"/>
    <mergeCell ref="Q13:Y13"/>
    <mergeCell ref="C2:E2"/>
    <mergeCell ref="O2:AC5"/>
    <mergeCell ref="C6:J6"/>
    <mergeCell ref="Q12:Y12"/>
    <mergeCell ref="C3:J3"/>
    <mergeCell ref="C5:F5"/>
    <mergeCell ref="C11:F11"/>
    <mergeCell ref="Y18:AG18"/>
    <mergeCell ref="D15:E15"/>
    <mergeCell ref="D9:E9"/>
    <mergeCell ref="G9:J9"/>
    <mergeCell ref="G15:J15"/>
  </mergeCells>
  <dataValidations count="1">
    <dataValidation type="list" allowBlank="1" showInputMessage="1" showErrorMessage="1" sqref="D38">
      <formula1>$S$41:$S$46</formula1>
    </dataValidation>
  </dataValidations>
  <hyperlinks>
    <hyperlink ref="C7" location="'Diagnóstico arbóreo'!A1" display="Área arbórea existente (m2)"/>
    <hyperlink ref="C13" location="'Área arborizada'!A1" display="Área arborizada (m2)"/>
    <hyperlink ref="D7" location="'Área arbórea conservada'!A1" display="Área arbórea conservada (m2)"/>
  </hyperlinks>
  <pageMargins left="0.25" right="0.25" top="0.75" bottom="0.75" header="0.3" footer="0.3"/>
  <pageSetup paperSize="9" scale="25"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Listas!$A$11:$A$12</xm:f>
          </x14:formula1>
          <xm:sqref>F20 H20 G22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pageSetUpPr fitToPage="1"/>
  </sheetPr>
  <dimension ref="A1:AX60"/>
  <sheetViews>
    <sheetView showGridLines="0" zoomScale="70" zoomScaleNormal="70" workbookViewId="0">
      <selection activeCell="C9" sqref="C9"/>
    </sheetView>
  </sheetViews>
  <sheetFormatPr defaultColWidth="8.81640625" defaultRowHeight="45" customHeight="1"/>
  <cols>
    <col min="1" max="1" width="2.81640625" style="16" customWidth="1"/>
    <col min="2" max="2" width="2.6328125" style="16" customWidth="1"/>
    <col min="3" max="3" width="28.26953125" style="17" customWidth="1"/>
    <col min="4" max="6" width="20.36328125" style="18" customWidth="1"/>
    <col min="7" max="7" width="20.36328125" style="156" customWidth="1"/>
    <col min="8" max="8" width="27.453125" style="156" customWidth="1"/>
    <col min="9" max="9" width="29.81640625" style="20" customWidth="1"/>
    <col min="10" max="10" width="20.36328125" style="20" customWidth="1"/>
    <col min="11" max="11" width="2.6328125" style="20" customWidth="1"/>
    <col min="12" max="12" width="0.81640625" style="22" customWidth="1"/>
    <col min="13" max="13" width="14.54296875" style="23" customWidth="1"/>
    <col min="14" max="14" width="2.6328125" style="22" customWidth="1"/>
    <col min="15" max="15" width="12.6328125" style="22" customWidth="1"/>
    <col min="16" max="16" width="32.54296875" style="22" customWidth="1"/>
    <col min="17" max="17" width="9.6328125" style="24" customWidth="1"/>
    <col min="18" max="19" width="9.6328125" style="16" customWidth="1"/>
    <col min="20" max="20" width="1" style="22" customWidth="1"/>
    <col min="21" max="24" width="10.453125" style="22" customWidth="1"/>
    <col min="25" max="25" width="19" style="16" customWidth="1"/>
    <col min="26" max="26" width="14.453125" style="22" customWidth="1"/>
    <col min="27" max="30" width="19" style="16" customWidth="1"/>
    <col min="31" max="31" width="57.453125" style="16" bestFit="1" customWidth="1"/>
    <col min="32" max="32" width="57.453125" style="16" customWidth="1"/>
    <col min="33" max="33" width="18" style="16" bestFit="1" customWidth="1"/>
    <col min="34" max="34" width="12.81640625" style="16" bestFit="1" customWidth="1"/>
    <col min="35" max="35" width="8.453125" style="16" bestFit="1" customWidth="1"/>
    <col min="36" max="36" width="19" style="16" customWidth="1"/>
    <col min="37" max="37" width="17.81640625" style="16" customWidth="1"/>
    <col min="38" max="38" width="18.453125" style="16" customWidth="1"/>
    <col min="39" max="16384" width="8.81640625" style="16"/>
  </cols>
  <sheetData>
    <row r="1" spans="1:31" ht="81" customHeight="1" thickBot="1">
      <c r="B1" s="287"/>
      <c r="C1" s="288"/>
      <c r="D1" s="517" t="s">
        <v>1106</v>
      </c>
      <c r="E1" s="517"/>
      <c r="F1" s="517"/>
      <c r="G1" s="517"/>
      <c r="H1" s="517"/>
      <c r="I1" s="517"/>
      <c r="J1" s="517"/>
      <c r="K1" s="517"/>
      <c r="L1" s="20"/>
      <c r="M1" s="20"/>
    </row>
    <row r="2" spans="1:31" ht="69.5" customHeight="1" thickBot="1">
      <c r="B2" s="289"/>
      <c r="C2" s="696" t="s">
        <v>1120</v>
      </c>
      <c r="D2" s="696"/>
      <c r="E2" s="300" t="s">
        <v>1103</v>
      </c>
      <c r="F2" s="690">
        <f>IF('2. Biodiversidade + I. Verde'!G2=10%,30%,IF('2. Biodiversidade + I. Verde'!G2=0%,35%,25%))</f>
        <v>0.25</v>
      </c>
      <c r="G2" s="691"/>
      <c r="H2" s="300" t="s">
        <v>1412</v>
      </c>
      <c r="I2" s="342">
        <f>J8+J15+J22</f>
        <v>7.5</v>
      </c>
      <c r="J2" s="343"/>
      <c r="K2" s="344"/>
      <c r="L2" s="20"/>
      <c r="M2" s="20"/>
      <c r="P2" s="682"/>
      <c r="Q2" s="682"/>
      <c r="R2" s="682"/>
      <c r="S2" s="682"/>
      <c r="T2" s="682"/>
      <c r="U2" s="682"/>
      <c r="V2" s="682"/>
      <c r="W2" s="682"/>
      <c r="X2" s="682"/>
      <c r="Y2" s="682"/>
      <c r="Z2" s="682"/>
      <c r="AA2" s="682"/>
      <c r="AB2" s="682"/>
      <c r="AC2" s="682"/>
      <c r="AD2" s="682"/>
      <c r="AE2" s="25"/>
    </row>
    <row r="3" spans="1:31" ht="99" customHeight="1">
      <c r="B3" s="289"/>
      <c r="C3" s="683" t="s">
        <v>1163</v>
      </c>
      <c r="D3" s="683"/>
      <c r="E3" s="683"/>
      <c r="F3" s="683"/>
      <c r="G3" s="683"/>
      <c r="H3" s="683"/>
      <c r="I3" s="683"/>
      <c r="J3" s="683"/>
      <c r="K3" s="344"/>
      <c r="L3" s="20"/>
      <c r="M3" s="20"/>
      <c r="O3" s="16"/>
      <c r="P3" s="682"/>
      <c r="Q3" s="682"/>
      <c r="R3" s="682"/>
      <c r="S3" s="682"/>
      <c r="T3" s="682"/>
      <c r="U3" s="682"/>
      <c r="V3" s="682"/>
      <c r="W3" s="682"/>
      <c r="X3" s="682"/>
      <c r="Y3" s="682"/>
      <c r="Z3" s="682"/>
      <c r="AA3" s="682"/>
      <c r="AB3" s="682"/>
      <c r="AC3" s="682"/>
      <c r="AD3" s="682"/>
      <c r="AE3" s="25"/>
    </row>
    <row r="4" spans="1:31" ht="14" customHeight="1" thickBot="1">
      <c r="B4" s="289"/>
      <c r="C4" s="297"/>
      <c r="D4" s="297"/>
      <c r="E4" s="297"/>
      <c r="F4" s="297"/>
      <c r="G4" s="297"/>
      <c r="H4" s="297"/>
      <c r="I4" s="297"/>
      <c r="J4" s="297"/>
      <c r="K4" s="344"/>
      <c r="L4" s="20"/>
      <c r="M4" s="20"/>
      <c r="P4" s="682"/>
      <c r="Q4" s="682"/>
      <c r="R4" s="682"/>
      <c r="S4" s="682"/>
      <c r="T4" s="682"/>
      <c r="U4" s="682"/>
      <c r="V4" s="682"/>
      <c r="W4" s="682"/>
      <c r="X4" s="682"/>
      <c r="Y4" s="682"/>
      <c r="Z4" s="682"/>
      <c r="AA4" s="682"/>
      <c r="AB4" s="682"/>
      <c r="AC4" s="682"/>
      <c r="AD4" s="682"/>
      <c r="AE4" s="25"/>
    </row>
    <row r="5" spans="1:31" ht="49" customHeight="1">
      <c r="B5" s="292"/>
      <c r="C5" s="666" t="s">
        <v>253</v>
      </c>
      <c r="D5" s="667"/>
      <c r="E5" s="667"/>
      <c r="F5" s="667"/>
      <c r="G5" s="305"/>
      <c r="H5" s="305"/>
      <c r="I5" s="306" t="s">
        <v>1072</v>
      </c>
      <c r="J5" s="345">
        <v>0.25</v>
      </c>
      <c r="K5" s="344"/>
      <c r="L5" s="20"/>
      <c r="M5" s="20"/>
      <c r="N5" s="16"/>
      <c r="O5" s="16"/>
      <c r="P5" s="682"/>
      <c r="Q5" s="682"/>
      <c r="R5" s="682"/>
      <c r="S5" s="682"/>
      <c r="T5" s="682"/>
      <c r="U5" s="682"/>
      <c r="V5" s="682"/>
      <c r="W5" s="682"/>
      <c r="X5" s="682"/>
      <c r="Y5" s="682"/>
      <c r="Z5" s="682"/>
      <c r="AA5" s="682"/>
      <c r="AB5" s="682"/>
      <c r="AC5" s="682"/>
      <c r="AD5" s="682"/>
      <c r="AE5" s="25"/>
    </row>
    <row r="6" spans="1:31" ht="44.5" customHeight="1" thickBot="1">
      <c r="B6" s="292"/>
      <c r="C6" s="671" t="s">
        <v>1350</v>
      </c>
      <c r="D6" s="672"/>
      <c r="E6" s="672"/>
      <c r="F6" s="672"/>
      <c r="G6" s="672"/>
      <c r="H6" s="672"/>
      <c r="I6" s="669"/>
      <c r="J6" s="670"/>
      <c r="K6" s="344"/>
      <c r="L6" s="20"/>
      <c r="M6" s="20"/>
      <c r="N6" s="16"/>
      <c r="O6" s="16"/>
      <c r="P6" s="155"/>
      <c r="Q6" s="155"/>
      <c r="R6" s="155"/>
      <c r="S6" s="155"/>
      <c r="T6" s="155"/>
      <c r="U6" s="155"/>
      <c r="V6" s="155"/>
      <c r="W6" s="155"/>
      <c r="X6" s="155"/>
      <c r="Y6" s="155"/>
      <c r="Z6" s="155"/>
      <c r="AA6" s="155"/>
      <c r="AB6" s="155"/>
      <c r="AC6" s="155"/>
      <c r="AD6" s="155"/>
      <c r="AE6" s="25"/>
    </row>
    <row r="7" spans="1:31" ht="57" customHeight="1">
      <c r="B7" s="292"/>
      <c r="C7" s="307" t="s">
        <v>1325</v>
      </c>
      <c r="D7" s="308" t="s">
        <v>1326</v>
      </c>
      <c r="E7" s="308" t="s">
        <v>1327</v>
      </c>
      <c r="F7" s="309" t="s">
        <v>1328</v>
      </c>
      <c r="G7" s="334"/>
      <c r="H7" s="334"/>
      <c r="I7" s="311" t="s">
        <v>1376</v>
      </c>
      <c r="J7" s="346" t="s">
        <v>1102</v>
      </c>
      <c r="K7" s="344"/>
      <c r="L7" s="20"/>
      <c r="M7" s="20"/>
      <c r="N7" s="16"/>
      <c r="O7" s="16"/>
      <c r="P7" s="16"/>
      <c r="Q7" s="25"/>
      <c r="S7" s="25"/>
      <c r="T7" s="25"/>
      <c r="U7" s="25"/>
      <c r="V7" s="25"/>
      <c r="W7" s="25"/>
      <c r="X7" s="25"/>
      <c r="Y7" s="25"/>
      <c r="Z7" s="25"/>
      <c r="AA7" s="25"/>
      <c r="AB7" s="25"/>
      <c r="AC7" s="25"/>
      <c r="AD7" s="25"/>
      <c r="AE7" s="25"/>
    </row>
    <row r="8" spans="1:31" ht="49" customHeight="1" thickBot="1">
      <c r="B8" s="56"/>
      <c r="C8" s="176">
        <v>200</v>
      </c>
      <c r="D8" s="347">
        <f>'0. Informação Preparatória'!C12</f>
        <v>1000</v>
      </c>
      <c r="E8" s="348">
        <f>'0. Informação Preparatória'!G12</f>
        <v>0.6</v>
      </c>
      <c r="F8" s="349">
        <f>IF(E8=1,C8/D8,((C8/D8)/(1-E8)-1))</f>
        <v>-0.5</v>
      </c>
      <c r="G8" s="339"/>
      <c r="H8" s="339"/>
      <c r="I8" s="315">
        <f>IF(F8&lt;=0,0,IF(F8*10/0.3&gt;=10,10,F8*10/0.3))</f>
        <v>0</v>
      </c>
      <c r="J8" s="350">
        <f>I8*J5</f>
        <v>0</v>
      </c>
      <c r="K8" s="27"/>
      <c r="L8" s="20"/>
      <c r="M8" s="20"/>
      <c r="N8" s="16"/>
      <c r="O8" s="269"/>
      <c r="P8" s="16"/>
      <c r="Q8" s="25"/>
      <c r="S8" s="25"/>
      <c r="T8" s="25"/>
      <c r="U8" s="25"/>
      <c r="V8" s="25"/>
      <c r="W8" s="25"/>
      <c r="X8" s="25"/>
      <c r="Y8" s="25"/>
      <c r="Z8" s="25"/>
      <c r="AA8" s="25"/>
      <c r="AB8" s="25"/>
      <c r="AC8" s="25"/>
      <c r="AD8" s="25"/>
    </row>
    <row r="9" spans="1:31" ht="71" customHeight="1" thickBot="1">
      <c r="B9" s="56"/>
      <c r="C9" s="351" t="s">
        <v>1154</v>
      </c>
      <c r="D9" s="692" t="s">
        <v>1337</v>
      </c>
      <c r="E9" s="693"/>
      <c r="F9" s="318"/>
      <c r="G9" s="684"/>
      <c r="H9" s="684"/>
      <c r="I9" s="684"/>
      <c r="J9" s="685"/>
      <c r="K9" s="27"/>
      <c r="L9" s="20"/>
      <c r="M9" s="20"/>
      <c r="N9" s="16"/>
      <c r="O9" s="16"/>
      <c r="P9" s="16"/>
      <c r="Q9" s="25"/>
      <c r="S9" s="25"/>
      <c r="T9" s="25"/>
      <c r="U9" s="25"/>
      <c r="V9" s="25"/>
      <c r="W9" s="25"/>
      <c r="X9" s="25"/>
      <c r="Y9" s="25"/>
      <c r="Z9" s="25"/>
      <c r="AA9" s="25"/>
      <c r="AB9" s="25"/>
      <c r="AC9" s="25"/>
      <c r="AD9" s="25"/>
    </row>
    <row r="10" spans="1:31" ht="14" customHeight="1" thickBot="1">
      <c r="B10" s="56"/>
      <c r="C10" s="319"/>
      <c r="D10" s="320"/>
      <c r="E10" s="320"/>
      <c r="F10" s="321"/>
      <c r="G10" s="321"/>
      <c r="H10" s="322"/>
      <c r="I10" s="323"/>
      <c r="J10" s="323"/>
      <c r="K10" s="27"/>
      <c r="L10" s="20"/>
      <c r="M10" s="20"/>
      <c r="N10" s="16"/>
      <c r="O10" s="16"/>
      <c r="P10" s="16"/>
      <c r="Q10" s="25"/>
      <c r="S10" s="25"/>
      <c r="T10" s="25"/>
      <c r="U10" s="25"/>
      <c r="V10" s="25"/>
      <c r="W10" s="25"/>
      <c r="X10" s="25"/>
      <c r="Y10" s="25"/>
      <c r="Z10" s="25"/>
      <c r="AA10" s="25"/>
      <c r="AB10" s="25"/>
      <c r="AC10" s="25"/>
      <c r="AD10" s="25"/>
    </row>
    <row r="11" spans="1:31" ht="49" customHeight="1">
      <c r="B11" s="56"/>
      <c r="C11" s="666" t="s">
        <v>254</v>
      </c>
      <c r="D11" s="667"/>
      <c r="E11" s="667"/>
      <c r="F11" s="667"/>
      <c r="G11" s="305"/>
      <c r="H11" s="305"/>
      <c r="I11" s="306" t="s">
        <v>1072</v>
      </c>
      <c r="J11" s="345">
        <v>0.6</v>
      </c>
      <c r="K11" s="27"/>
      <c r="L11" s="20"/>
      <c r="M11" s="20"/>
      <c r="N11" s="16"/>
      <c r="O11" s="16"/>
      <c r="P11" s="16"/>
      <c r="Q11" s="25"/>
      <c r="S11" s="25"/>
      <c r="T11" s="25"/>
      <c r="U11" s="25"/>
      <c r="V11" s="25"/>
      <c r="W11" s="25"/>
      <c r="X11" s="25"/>
      <c r="Y11" s="25"/>
      <c r="Z11" s="25"/>
      <c r="AA11" s="25"/>
      <c r="AB11" s="25"/>
      <c r="AC11" s="25"/>
      <c r="AD11" s="25"/>
    </row>
    <row r="12" spans="1:31" ht="61" customHeight="1" thickBot="1">
      <c r="B12" s="56"/>
      <c r="C12" s="671" t="s">
        <v>1351</v>
      </c>
      <c r="D12" s="672"/>
      <c r="E12" s="672"/>
      <c r="F12" s="672"/>
      <c r="G12" s="672"/>
      <c r="H12" s="672"/>
      <c r="I12" s="672"/>
      <c r="J12" s="670"/>
      <c r="K12" s="27"/>
      <c r="L12" s="20"/>
      <c r="M12" s="20"/>
      <c r="P12" s="25"/>
      <c r="Q12" s="25"/>
      <c r="R12" s="680"/>
      <c r="S12" s="680"/>
      <c r="T12" s="680"/>
      <c r="U12" s="680"/>
      <c r="V12" s="680"/>
      <c r="W12" s="680"/>
      <c r="X12" s="680"/>
      <c r="Y12" s="680"/>
      <c r="Z12" s="680"/>
      <c r="AA12" s="25"/>
      <c r="AB12" s="25"/>
      <c r="AC12" s="25"/>
      <c r="AD12" s="25"/>
    </row>
    <row r="13" spans="1:31" ht="72" customHeight="1">
      <c r="B13" s="56"/>
      <c r="C13" s="307" t="s">
        <v>1238</v>
      </c>
      <c r="D13" s="308" t="s">
        <v>1121</v>
      </c>
      <c r="E13" s="308" t="s">
        <v>1329</v>
      </c>
      <c r="F13" s="308" t="s">
        <v>1331</v>
      </c>
      <c r="G13" s="308" t="s">
        <v>1332</v>
      </c>
      <c r="H13" s="308" t="s">
        <v>1333</v>
      </c>
      <c r="I13" s="694" t="s">
        <v>1377</v>
      </c>
      <c r="J13" s="699" t="s">
        <v>1102</v>
      </c>
      <c r="K13" s="27"/>
      <c r="L13" s="20"/>
      <c r="M13" s="20"/>
      <c r="P13" s="25"/>
      <c r="Q13" s="25"/>
      <c r="R13" s="680"/>
      <c r="S13" s="680"/>
      <c r="T13" s="680"/>
      <c r="U13" s="680"/>
      <c r="V13" s="680"/>
      <c r="W13" s="680"/>
      <c r="X13" s="680"/>
      <c r="Y13" s="680"/>
      <c r="Z13" s="680"/>
      <c r="AA13" s="25"/>
      <c r="AB13" s="25"/>
      <c r="AC13" s="25"/>
      <c r="AD13" s="25"/>
    </row>
    <row r="14" spans="1:31" ht="54" customHeight="1" thickBot="1">
      <c r="B14" s="56"/>
      <c r="C14" s="352">
        <v>21.3</v>
      </c>
      <c r="D14" s="353">
        <f>('0. Informação Preparatória'!C12*C14)/1000</f>
        <v>21.3</v>
      </c>
      <c r="E14" s="179">
        <v>50</v>
      </c>
      <c r="F14" s="354">
        <f>IF(E14/D14&gt;1,1,E14/D14)</f>
        <v>1</v>
      </c>
      <c r="G14" s="263" t="s">
        <v>139</v>
      </c>
      <c r="H14" s="355">
        <f>IF(G14="SIM",1,0)</f>
        <v>1</v>
      </c>
      <c r="I14" s="695"/>
      <c r="J14" s="700"/>
      <c r="K14" s="27"/>
      <c r="L14" s="20"/>
      <c r="M14" s="20"/>
      <c r="N14" s="25"/>
      <c r="O14" s="25"/>
      <c r="P14" s="25"/>
      <c r="Q14" s="25"/>
      <c r="R14" s="25"/>
      <c r="S14" s="25"/>
      <c r="T14" s="25"/>
      <c r="U14" s="25"/>
      <c r="V14" s="25"/>
      <c r="W14" s="25"/>
      <c r="X14" s="25"/>
      <c r="Y14" s="25"/>
      <c r="Z14" s="25"/>
    </row>
    <row r="15" spans="1:31" ht="54" customHeight="1">
      <c r="A15" s="265"/>
      <c r="B15" s="166"/>
      <c r="C15" s="703"/>
      <c r="D15" s="703"/>
      <c r="E15" s="703"/>
      <c r="F15" s="704"/>
      <c r="G15" s="357" t="s">
        <v>1334</v>
      </c>
      <c r="H15" s="356" t="s">
        <v>1335</v>
      </c>
      <c r="I15" s="697">
        <f>8*F14+H14+H16</f>
        <v>10</v>
      </c>
      <c r="J15" s="701">
        <f>I15*J11</f>
        <v>6</v>
      </c>
      <c r="K15" s="27"/>
      <c r="L15" s="20"/>
      <c r="M15" s="20"/>
      <c r="N15" s="25"/>
      <c r="O15" s="25"/>
      <c r="P15" s="25"/>
      <c r="Q15" s="25"/>
      <c r="R15" s="25"/>
      <c r="S15" s="25"/>
      <c r="T15" s="25"/>
      <c r="U15" s="25"/>
      <c r="V15" s="25"/>
      <c r="W15" s="25"/>
      <c r="X15" s="25"/>
      <c r="Y15" s="25"/>
      <c r="Z15" s="25"/>
    </row>
    <row r="16" spans="1:31" ht="54" customHeight="1" thickBot="1">
      <c r="A16" s="265"/>
      <c r="B16" s="166"/>
      <c r="C16" s="705"/>
      <c r="D16" s="705"/>
      <c r="E16" s="705"/>
      <c r="F16" s="706"/>
      <c r="G16" s="264" t="s">
        <v>139</v>
      </c>
      <c r="H16" s="355">
        <f>IF(G16="SIM",1,0)</f>
        <v>1</v>
      </c>
      <c r="I16" s="698"/>
      <c r="J16" s="702"/>
      <c r="K16" s="27"/>
      <c r="L16" s="20"/>
      <c r="M16" s="20"/>
      <c r="N16" s="25"/>
      <c r="O16" s="25"/>
      <c r="P16" s="25"/>
      <c r="Q16" s="25"/>
      <c r="R16" s="25"/>
      <c r="S16" s="25"/>
      <c r="T16" s="25"/>
      <c r="U16" s="25"/>
      <c r="V16" s="25"/>
      <c r="W16" s="25"/>
      <c r="X16" s="25"/>
      <c r="Y16" s="25"/>
      <c r="Z16" s="25"/>
    </row>
    <row r="17" spans="1:50" ht="128" customHeight="1" thickBot="1">
      <c r="B17" s="56"/>
      <c r="C17" s="317" t="s">
        <v>1154</v>
      </c>
      <c r="D17" s="692" t="s">
        <v>1336</v>
      </c>
      <c r="E17" s="693"/>
      <c r="F17" s="318" t="s">
        <v>1295</v>
      </c>
      <c r="G17" s="684" t="s">
        <v>1374</v>
      </c>
      <c r="H17" s="684"/>
      <c r="I17" s="684"/>
      <c r="J17" s="685"/>
      <c r="K17" s="27"/>
      <c r="L17" s="20"/>
      <c r="M17" s="20"/>
      <c r="N17" s="25"/>
      <c r="O17" s="25"/>
      <c r="P17" s="25"/>
      <c r="Q17" s="25"/>
      <c r="R17" s="25"/>
      <c r="S17" s="25"/>
      <c r="T17" s="25"/>
      <c r="U17" s="25"/>
      <c r="V17" s="25"/>
      <c r="W17" s="25"/>
      <c r="X17" s="25"/>
      <c r="Y17" s="25"/>
      <c r="Z17" s="25"/>
    </row>
    <row r="18" spans="1:50" ht="14" customHeight="1" thickBot="1">
      <c r="B18" s="56"/>
      <c r="C18" s="319"/>
      <c r="D18" s="320"/>
      <c r="E18" s="320"/>
      <c r="F18" s="321"/>
      <c r="G18" s="321"/>
      <c r="H18" s="322"/>
      <c r="I18" s="323"/>
      <c r="J18" s="323"/>
      <c r="K18" s="27"/>
      <c r="L18" s="20"/>
      <c r="M18" s="20"/>
      <c r="N18" s="25"/>
      <c r="O18" s="25"/>
      <c r="P18" s="25"/>
      <c r="Q18" s="25"/>
      <c r="R18" s="25"/>
      <c r="S18" s="25"/>
      <c r="T18" s="25"/>
      <c r="U18" s="25"/>
      <c r="V18" s="25"/>
      <c r="W18" s="25"/>
      <c r="X18" s="25"/>
      <c r="Y18" s="25"/>
      <c r="Z18" s="25"/>
    </row>
    <row r="19" spans="1:50" ht="51.5" customHeight="1">
      <c r="B19" s="56"/>
      <c r="C19" s="666" t="s">
        <v>255</v>
      </c>
      <c r="D19" s="667" t="s">
        <v>1049</v>
      </c>
      <c r="E19" s="667" t="s">
        <v>1057</v>
      </c>
      <c r="F19" s="667" t="s">
        <v>1053</v>
      </c>
      <c r="G19" s="305"/>
      <c r="H19" s="305"/>
      <c r="I19" s="306" t="s">
        <v>1072</v>
      </c>
      <c r="J19" s="345">
        <v>0.15</v>
      </c>
      <c r="K19" s="27"/>
      <c r="L19" s="20"/>
      <c r="M19" s="20"/>
      <c r="N19" s="20"/>
      <c r="O19" s="20"/>
      <c r="P19" s="20"/>
      <c r="Q19" s="20"/>
      <c r="R19" s="20"/>
      <c r="S19" s="92"/>
      <c r="T19" s="92"/>
      <c r="U19" s="92"/>
      <c r="V19" s="95"/>
      <c r="W19" s="92"/>
      <c r="X19" s="92"/>
      <c r="Y19" s="20"/>
      <c r="Z19" s="20"/>
      <c r="AC19" s="31"/>
      <c r="AE19" s="22"/>
      <c r="AJ19" s="30"/>
      <c r="AK19" s="32"/>
      <c r="AL19" s="33"/>
      <c r="AN19" s="23"/>
      <c r="AO19" s="155"/>
      <c r="AP19" s="34"/>
      <c r="AQ19" s="24"/>
    </row>
    <row r="20" spans="1:50" ht="63" customHeight="1" thickBot="1">
      <c r="B20" s="56"/>
      <c r="C20" s="671" t="s">
        <v>1122</v>
      </c>
      <c r="D20" s="672">
        <v>290000</v>
      </c>
      <c r="E20" s="672" t="s">
        <v>1058</v>
      </c>
      <c r="F20" s="672">
        <v>100</v>
      </c>
      <c r="G20" s="672">
        <v>72</v>
      </c>
      <c r="H20" s="672" t="s">
        <v>1059</v>
      </c>
      <c r="I20" s="672"/>
      <c r="J20" s="670">
        <v>100</v>
      </c>
      <c r="K20" s="27"/>
      <c r="L20" s="20"/>
      <c r="M20" s="20"/>
      <c r="N20" s="20"/>
      <c r="O20" s="20"/>
      <c r="P20" s="20"/>
      <c r="Q20" s="20"/>
      <c r="R20" s="20"/>
      <c r="S20" s="20"/>
      <c r="T20" s="79"/>
      <c r="U20" s="95"/>
      <c r="V20" s="70"/>
      <c r="W20" s="70"/>
      <c r="Y20" s="24"/>
      <c r="Z20" s="680"/>
      <c r="AA20" s="680"/>
      <c r="AB20" s="680"/>
      <c r="AC20" s="680"/>
      <c r="AD20" s="680"/>
      <c r="AE20" s="680"/>
      <c r="AF20" s="680"/>
      <c r="AG20" s="680"/>
      <c r="AH20" s="680"/>
      <c r="AN20" s="30"/>
      <c r="AO20" s="33"/>
      <c r="AQ20" s="28"/>
      <c r="AR20" s="35"/>
      <c r="AS20" s="36"/>
      <c r="AT20" s="24"/>
      <c r="AU20" s="37"/>
      <c r="AW20" s="28"/>
      <c r="AX20" s="28"/>
    </row>
    <row r="21" spans="1:50" ht="40.5" customHeight="1">
      <c r="B21" s="148"/>
      <c r="C21" s="358" t="s">
        <v>54</v>
      </c>
      <c r="D21" s="334"/>
      <c r="E21" s="334"/>
      <c r="F21" s="334"/>
      <c r="G21" s="334"/>
      <c r="H21" s="334"/>
      <c r="I21" s="311" t="s">
        <v>1378</v>
      </c>
      <c r="J21" s="332" t="s">
        <v>1102</v>
      </c>
      <c r="K21" s="153"/>
      <c r="L21" s="79"/>
      <c r="M21" s="95"/>
      <c r="N21" s="70"/>
      <c r="O21" s="70"/>
      <c r="R21" s="156"/>
      <c r="S21" s="156"/>
      <c r="T21" s="156"/>
      <c r="U21" s="156"/>
      <c r="V21" s="156"/>
      <c r="W21" s="156"/>
      <c r="X21" s="156"/>
      <c r="Y21" s="156"/>
      <c r="Z21" s="156"/>
      <c r="AF21" s="30"/>
      <c r="AG21" s="33"/>
      <c r="AI21" s="28"/>
      <c r="AJ21" s="35"/>
      <c r="AK21" s="36"/>
      <c r="AL21" s="24"/>
      <c r="AM21" s="37"/>
      <c r="AO21" s="28"/>
      <c r="AP21" s="28"/>
    </row>
    <row r="22" spans="1:50" ht="40.5" customHeight="1" thickBot="1">
      <c r="B22" s="56"/>
      <c r="C22" s="190" t="s">
        <v>39</v>
      </c>
      <c r="D22" s="359"/>
      <c r="E22" s="359"/>
      <c r="F22" s="359"/>
      <c r="G22" s="359"/>
      <c r="H22" s="359"/>
      <c r="I22" s="360">
        <f>IF(C22="A+",10,IF(C22="A",8,IF(C22="B",6,IF(C22="C",4,IF(C22="D",2,0)))))</f>
        <v>10</v>
      </c>
      <c r="J22" s="361">
        <f>J19*I22</f>
        <v>1.5</v>
      </c>
      <c r="K22" s="153"/>
      <c r="L22" s="79"/>
      <c r="M22" s="95"/>
      <c r="N22" s="70"/>
      <c r="O22" s="70"/>
      <c r="R22" s="156"/>
      <c r="S22" s="156"/>
      <c r="T22" s="156"/>
      <c r="U22" s="156"/>
      <c r="V22" s="156"/>
      <c r="W22" s="156"/>
      <c r="X22" s="156"/>
      <c r="Y22" s="156"/>
      <c r="Z22" s="156"/>
      <c r="AF22" s="30"/>
      <c r="AG22" s="33"/>
      <c r="AI22" s="28"/>
      <c r="AJ22" s="35"/>
      <c r="AK22" s="36"/>
      <c r="AL22" s="24"/>
      <c r="AM22" s="37"/>
      <c r="AO22" s="28"/>
      <c r="AP22" s="28"/>
    </row>
    <row r="23" spans="1:50" ht="40.5" customHeight="1" thickBot="1">
      <c r="B23" s="56"/>
      <c r="C23" s="317" t="s">
        <v>1154</v>
      </c>
      <c r="D23" s="678" t="s">
        <v>1158</v>
      </c>
      <c r="E23" s="679"/>
      <c r="F23" s="318" t="s">
        <v>1295</v>
      </c>
      <c r="G23" s="684" t="s">
        <v>1338</v>
      </c>
      <c r="H23" s="684"/>
      <c r="I23" s="684"/>
      <c r="J23" s="685"/>
      <c r="K23" s="153"/>
      <c r="L23" s="79"/>
      <c r="M23" s="95"/>
      <c r="N23" s="70"/>
      <c r="O23" s="70"/>
      <c r="R23" s="172"/>
      <c r="S23" s="172"/>
      <c r="T23" s="172"/>
      <c r="U23" s="172"/>
      <c r="V23" s="172"/>
      <c r="W23" s="172"/>
      <c r="X23" s="172"/>
      <c r="Y23" s="172"/>
      <c r="Z23" s="172"/>
      <c r="AF23" s="30"/>
      <c r="AG23" s="33"/>
      <c r="AI23" s="28"/>
      <c r="AJ23" s="35"/>
      <c r="AK23" s="36"/>
      <c r="AL23" s="24"/>
      <c r="AM23" s="37"/>
      <c r="AO23" s="28"/>
      <c r="AP23" s="28"/>
    </row>
    <row r="24" spans="1:50" ht="14" customHeight="1">
      <c r="B24" s="56"/>
      <c r="C24" s="197"/>
      <c r="D24" s="198"/>
      <c r="E24" s="198"/>
      <c r="F24" s="194"/>
      <c r="G24" s="194"/>
      <c r="H24" s="195"/>
      <c r="I24" s="196"/>
      <c r="J24" s="196"/>
      <c r="K24" s="153"/>
      <c r="L24" s="79"/>
      <c r="M24" s="95"/>
      <c r="N24" s="70"/>
      <c r="O24" s="70"/>
      <c r="R24" s="156"/>
      <c r="S24" s="156"/>
      <c r="T24" s="156"/>
      <c r="U24" s="156"/>
      <c r="V24" s="156"/>
      <c r="W24" s="156"/>
      <c r="X24" s="156"/>
      <c r="Y24" s="156"/>
      <c r="Z24" s="156"/>
      <c r="AF24" s="30"/>
      <c r="AG24" s="33"/>
      <c r="AI24" s="28"/>
      <c r="AJ24" s="35"/>
      <c r="AK24" s="36"/>
      <c r="AL24" s="24"/>
      <c r="AM24" s="37"/>
      <c r="AO24" s="28"/>
      <c r="AP24" s="28"/>
    </row>
    <row r="25" spans="1:50" ht="40.5" customHeight="1">
      <c r="A25" s="180"/>
      <c r="B25" s="181"/>
      <c r="C25" s="182"/>
      <c r="D25" s="182"/>
      <c r="E25" s="182"/>
      <c r="F25" s="182"/>
      <c r="G25" s="183"/>
      <c r="H25" s="184"/>
      <c r="I25" s="182"/>
      <c r="J25" s="182"/>
      <c r="K25" s="185"/>
      <c r="L25" s="185"/>
      <c r="M25" s="186"/>
      <c r="N25" s="70"/>
      <c r="O25" s="70"/>
      <c r="R25" s="156"/>
      <c r="S25" s="156"/>
      <c r="T25" s="156"/>
      <c r="U25" s="156"/>
      <c r="V25" s="156"/>
      <c r="W25" s="156"/>
      <c r="X25" s="156"/>
      <c r="Y25" s="156"/>
      <c r="Z25" s="156"/>
      <c r="AF25" s="30"/>
      <c r="AG25" s="33"/>
      <c r="AI25" s="28"/>
      <c r="AJ25" s="35"/>
      <c r="AK25" s="36"/>
      <c r="AL25" s="24"/>
      <c r="AM25" s="37"/>
      <c r="AO25" s="28"/>
      <c r="AP25" s="28"/>
    </row>
    <row r="26" spans="1:50" ht="40.5" customHeight="1">
      <c r="A26" s="180"/>
      <c r="B26" s="181"/>
      <c r="C26" s="182"/>
      <c r="D26" s="182"/>
      <c r="E26" s="182"/>
      <c r="F26" s="182"/>
      <c r="G26" s="182"/>
      <c r="H26" s="182"/>
      <c r="I26" s="182"/>
      <c r="J26" s="182"/>
      <c r="K26" s="185"/>
      <c r="L26" s="185"/>
      <c r="M26" s="186"/>
      <c r="N26" s="70"/>
      <c r="O26" s="70"/>
      <c r="R26" s="156"/>
      <c r="S26" s="156"/>
      <c r="T26" s="156"/>
      <c r="U26" s="156"/>
      <c r="V26" s="156"/>
      <c r="W26" s="156"/>
      <c r="X26" s="156"/>
      <c r="Y26" s="156"/>
      <c r="Z26" s="156"/>
      <c r="AF26" s="30"/>
      <c r="AG26" s="33"/>
      <c r="AI26" s="28"/>
      <c r="AJ26" s="35"/>
      <c r="AK26" s="36"/>
      <c r="AL26" s="24"/>
      <c r="AM26" s="37"/>
      <c r="AO26" s="28"/>
      <c r="AP26" s="28"/>
    </row>
    <row r="27" spans="1:50" ht="40.5" customHeight="1">
      <c r="A27" s="180"/>
      <c r="B27" s="181"/>
      <c r="C27" s="182"/>
      <c r="D27" s="182"/>
      <c r="E27" s="182"/>
      <c r="F27" s="182"/>
      <c r="G27" s="187"/>
      <c r="H27" s="188"/>
      <c r="I27" s="182"/>
      <c r="J27" s="182"/>
      <c r="K27" s="185"/>
      <c r="L27" s="185"/>
      <c r="M27" s="186"/>
      <c r="N27" s="70"/>
      <c r="O27" s="70"/>
      <c r="R27" s="156"/>
      <c r="S27" s="156"/>
      <c r="T27" s="156"/>
      <c r="U27" s="156"/>
      <c r="V27" s="156"/>
      <c r="W27" s="156"/>
      <c r="X27" s="156"/>
      <c r="Y27" s="156"/>
      <c r="Z27" s="156"/>
      <c r="AF27" s="30"/>
      <c r="AG27" s="33"/>
      <c r="AI27" s="28"/>
      <c r="AJ27" s="35"/>
      <c r="AK27" s="36"/>
      <c r="AL27" s="24"/>
      <c r="AM27" s="37"/>
      <c r="AO27" s="28"/>
      <c r="AP27" s="28"/>
    </row>
    <row r="28" spans="1:50" ht="62.5" customHeight="1">
      <c r="A28" s="180"/>
      <c r="B28" s="181"/>
      <c r="C28" s="182"/>
      <c r="D28" s="182"/>
      <c r="E28" s="182"/>
      <c r="F28" s="182"/>
      <c r="G28" s="182"/>
      <c r="H28" s="182"/>
      <c r="I28" s="182"/>
      <c r="J28" s="182"/>
      <c r="K28" s="185"/>
      <c r="L28" s="185"/>
      <c r="M28" s="186"/>
      <c r="N28" s="70"/>
      <c r="O28" s="70"/>
      <c r="R28" s="680"/>
      <c r="S28" s="680"/>
      <c r="T28" s="680"/>
      <c r="U28" s="680"/>
      <c r="V28" s="680"/>
      <c r="W28" s="680"/>
      <c r="X28" s="680"/>
      <c r="Y28" s="680"/>
      <c r="Z28" s="680"/>
      <c r="AI28" s="23"/>
      <c r="AJ28" s="22"/>
      <c r="AK28" s="39">
        <v>100</v>
      </c>
      <c r="AL28" s="22"/>
    </row>
    <row r="29" spans="1:50" ht="40.5" customHeight="1">
      <c r="A29" s="180"/>
      <c r="B29" s="181"/>
      <c r="C29" s="182"/>
      <c r="D29" s="182"/>
      <c r="E29" s="182"/>
      <c r="F29" s="182"/>
      <c r="G29" s="187"/>
      <c r="H29" s="187"/>
      <c r="I29" s="188"/>
      <c r="J29" s="182"/>
      <c r="K29" s="185"/>
      <c r="L29" s="185"/>
      <c r="M29" s="189"/>
      <c r="N29" s="70"/>
      <c r="O29" s="75"/>
      <c r="P29" s="93"/>
      <c r="Q29" s="22"/>
      <c r="R29" s="22"/>
      <c r="S29" s="22"/>
      <c r="T29" s="38"/>
      <c r="V29" s="38"/>
      <c r="W29" s="38"/>
      <c r="X29" s="38"/>
      <c r="AI29" s="23"/>
      <c r="AJ29" s="22"/>
      <c r="AK29" s="39"/>
      <c r="AL29" s="22"/>
    </row>
    <row r="30" spans="1:50" ht="40.5" customHeight="1">
      <c r="A30" s="180"/>
      <c r="B30" s="181"/>
      <c r="C30" s="182"/>
      <c r="D30" s="182"/>
      <c r="E30" s="182"/>
      <c r="F30" s="182"/>
      <c r="G30" s="183"/>
      <c r="H30" s="183"/>
      <c r="I30" s="183"/>
      <c r="J30" s="183"/>
      <c r="K30" s="185"/>
      <c r="L30" s="185"/>
      <c r="M30" s="71"/>
      <c r="N30" s="70"/>
      <c r="O30" s="69"/>
      <c r="P30" s="512"/>
      <c r="Q30" s="22"/>
      <c r="R30" s="22"/>
      <c r="S30" s="22"/>
      <c r="T30" s="38"/>
      <c r="V30" s="38"/>
      <c r="W30" s="38"/>
      <c r="X30" s="38"/>
      <c r="AI30" s="23"/>
      <c r="AJ30" s="22"/>
      <c r="AK30" s="39"/>
      <c r="AL30" s="22"/>
    </row>
    <row r="31" spans="1:50" ht="40.5" customHeight="1">
      <c r="A31" s="180"/>
      <c r="B31" s="180"/>
      <c r="C31" s="182"/>
      <c r="D31" s="182"/>
      <c r="E31" s="182"/>
      <c r="F31" s="182"/>
      <c r="G31" s="183"/>
      <c r="H31" s="183"/>
      <c r="I31" s="183"/>
      <c r="J31" s="183"/>
      <c r="K31" s="189"/>
      <c r="L31" s="185"/>
      <c r="M31" s="189"/>
      <c r="N31" s="70"/>
      <c r="O31" s="75"/>
      <c r="P31" s="512"/>
      <c r="Q31" s="22"/>
      <c r="R31" s="22"/>
      <c r="S31" s="22"/>
      <c r="T31" s="38"/>
      <c r="U31" s="38"/>
      <c r="V31" s="38"/>
      <c r="W31" s="38"/>
      <c r="X31" s="38"/>
      <c r="AI31" s="23"/>
      <c r="AJ31" s="22"/>
      <c r="AK31" s="39"/>
      <c r="AL31" s="22"/>
    </row>
    <row r="32" spans="1:50" ht="40.5" customHeight="1">
      <c r="C32" s="73"/>
      <c r="D32" s="73"/>
      <c r="E32" s="73"/>
      <c r="F32" s="73"/>
      <c r="G32" s="73"/>
      <c r="H32" s="87"/>
      <c r="I32" s="74"/>
      <c r="J32" s="74"/>
      <c r="K32" s="72"/>
      <c r="L32" s="79"/>
      <c r="M32" s="71"/>
      <c r="N32" s="70"/>
      <c r="O32" s="69"/>
      <c r="P32" s="512"/>
      <c r="Q32" s="22"/>
      <c r="R32" s="22"/>
      <c r="S32" s="22"/>
      <c r="T32" s="38"/>
      <c r="U32" s="38"/>
      <c r="V32" s="38"/>
      <c r="W32" s="38"/>
      <c r="X32" s="38"/>
      <c r="AI32" s="23"/>
      <c r="AJ32" s="22"/>
      <c r="AK32" s="39"/>
      <c r="AL32" s="22"/>
    </row>
    <row r="33" spans="3:38" ht="40.5" customHeight="1">
      <c r="C33" s="73"/>
      <c r="D33" s="73"/>
      <c r="E33" s="73"/>
      <c r="F33" s="73"/>
      <c r="G33" s="85"/>
      <c r="H33" s="74"/>
      <c r="I33" s="74"/>
      <c r="J33" s="74"/>
      <c r="K33" s="75"/>
      <c r="L33" s="79"/>
      <c r="M33" s="75"/>
      <c r="N33" s="70"/>
      <c r="O33" s="75"/>
      <c r="P33" s="512"/>
      <c r="Q33" s="22"/>
      <c r="R33" s="22"/>
      <c r="S33" s="22"/>
      <c r="T33" s="38"/>
      <c r="U33" s="38"/>
      <c r="V33" s="38"/>
      <c r="W33" s="38"/>
      <c r="X33" s="38"/>
      <c r="AI33" s="23"/>
      <c r="AJ33" s="22"/>
      <c r="AK33" s="39"/>
      <c r="AL33" s="22"/>
    </row>
    <row r="34" spans="3:38" ht="40.5" customHeight="1">
      <c r="C34" s="73"/>
      <c r="D34" s="73"/>
      <c r="E34" s="73"/>
      <c r="F34" s="73"/>
      <c r="G34" s="73"/>
      <c r="H34" s="73"/>
      <c r="I34" s="73"/>
      <c r="J34" s="73"/>
      <c r="K34" s="72"/>
      <c r="L34" s="79"/>
      <c r="M34" s="71"/>
      <c r="N34" s="70"/>
      <c r="O34" s="69"/>
      <c r="P34" s="512"/>
      <c r="Q34" s="22"/>
      <c r="R34" s="22"/>
      <c r="S34" s="22"/>
      <c r="T34" s="38"/>
      <c r="U34" s="38"/>
      <c r="V34" s="38"/>
      <c r="W34" s="38"/>
      <c r="X34" s="38"/>
      <c r="AI34" s="23"/>
      <c r="AJ34" s="22"/>
      <c r="AK34" s="39"/>
      <c r="AL34" s="22"/>
    </row>
    <row r="35" spans="3:38" ht="40.5" customHeight="1">
      <c r="C35" s="73"/>
      <c r="D35" s="73"/>
      <c r="E35" s="73"/>
      <c r="F35" s="73"/>
      <c r="G35" s="77"/>
      <c r="H35" s="84"/>
      <c r="I35" s="73"/>
      <c r="J35" s="73"/>
      <c r="K35" s="75"/>
      <c r="L35" s="79"/>
      <c r="M35" s="75"/>
      <c r="N35" s="70"/>
      <c r="O35" s="75"/>
      <c r="P35" s="512"/>
      <c r="Q35" s="22"/>
      <c r="R35" s="22"/>
      <c r="S35" s="22"/>
      <c r="T35" s="38"/>
      <c r="U35" s="38"/>
      <c r="V35" s="38"/>
      <c r="W35" s="38"/>
      <c r="X35" s="38"/>
      <c r="AI35" s="23"/>
      <c r="AJ35" s="22"/>
      <c r="AK35" s="39"/>
      <c r="AL35" s="22"/>
    </row>
    <row r="36" spans="3:38" ht="40.5" customHeight="1">
      <c r="C36" s="73"/>
      <c r="D36" s="73"/>
      <c r="E36" s="73"/>
      <c r="F36" s="73"/>
      <c r="G36" s="73"/>
      <c r="H36" s="73"/>
      <c r="I36" s="73"/>
      <c r="J36" s="74"/>
      <c r="K36" s="72"/>
      <c r="L36" s="79"/>
      <c r="M36" s="71"/>
      <c r="N36" s="70"/>
      <c r="O36" s="69"/>
      <c r="P36" s="512"/>
      <c r="Q36" s="22"/>
      <c r="R36" s="22"/>
      <c r="S36" s="22"/>
      <c r="T36" s="38"/>
      <c r="U36" s="38"/>
      <c r="V36" s="38"/>
      <c r="W36" s="38"/>
      <c r="X36" s="38"/>
      <c r="AI36" s="23"/>
      <c r="AJ36" s="22"/>
      <c r="AK36" s="39"/>
      <c r="AL36" s="22"/>
    </row>
    <row r="37" spans="3:38" ht="40.5" customHeight="1">
      <c r="C37" s="73"/>
      <c r="D37" s="73"/>
      <c r="E37" s="73"/>
      <c r="F37" s="73"/>
      <c r="G37" s="82"/>
      <c r="H37" s="81"/>
      <c r="I37" s="81"/>
      <c r="J37" s="73"/>
      <c r="K37" s="75"/>
      <c r="L37" s="79"/>
      <c r="M37" s="75"/>
      <c r="N37" s="70"/>
      <c r="O37" s="75"/>
      <c r="P37" s="665"/>
      <c r="T37" s="38"/>
      <c r="U37" s="38"/>
      <c r="V37" s="38"/>
      <c r="W37" s="38"/>
      <c r="X37" s="38"/>
      <c r="AI37" s="23"/>
      <c r="AJ37" s="22"/>
      <c r="AK37" s="39"/>
      <c r="AL37" s="22"/>
    </row>
    <row r="38" spans="3:38" ht="40.5" customHeight="1">
      <c r="C38" s="513"/>
      <c r="D38" s="73"/>
      <c r="E38" s="73"/>
      <c r="F38" s="73"/>
      <c r="G38" s="73"/>
      <c r="H38" s="73"/>
      <c r="I38" s="73"/>
      <c r="J38" s="73"/>
      <c r="K38" s="72"/>
      <c r="L38" s="79"/>
      <c r="M38" s="71"/>
      <c r="N38" s="70"/>
      <c r="O38" s="69"/>
      <c r="P38" s="665"/>
      <c r="T38" s="38"/>
      <c r="U38" s="38"/>
      <c r="V38" s="38"/>
      <c r="W38" s="38"/>
      <c r="X38" s="38"/>
      <c r="AI38" s="23"/>
      <c r="AJ38" s="22"/>
      <c r="AK38" s="39"/>
      <c r="AL38" s="22"/>
    </row>
    <row r="39" spans="3:38" ht="40.5" customHeight="1">
      <c r="C39" s="513"/>
      <c r="D39" s="74"/>
      <c r="E39" s="73"/>
      <c r="F39" s="74"/>
      <c r="G39" s="77"/>
      <c r="H39" s="76"/>
      <c r="I39" s="73"/>
      <c r="J39" s="73"/>
      <c r="K39" s="75"/>
      <c r="L39" s="79"/>
      <c r="M39" s="75"/>
      <c r="N39" s="70"/>
      <c r="O39" s="75"/>
      <c r="P39" s="512"/>
      <c r="T39" s="38"/>
      <c r="U39" s="38"/>
      <c r="V39" s="38"/>
      <c r="W39" s="38"/>
      <c r="X39" s="38"/>
      <c r="AI39" s="23"/>
      <c r="AJ39" s="22"/>
      <c r="AK39" s="39"/>
      <c r="AL39" s="22"/>
    </row>
    <row r="40" spans="3:38" ht="40.5" customHeight="1">
      <c r="C40" s="513"/>
      <c r="D40" s="73"/>
      <c r="E40" s="73"/>
      <c r="F40" s="73"/>
      <c r="G40" s="73"/>
      <c r="H40" s="73"/>
      <c r="I40" s="73"/>
      <c r="J40" s="73"/>
      <c r="K40" s="72"/>
      <c r="L40" s="79"/>
      <c r="M40" s="71"/>
      <c r="N40" s="70"/>
      <c r="O40" s="69"/>
      <c r="P40" s="512"/>
      <c r="T40" s="38"/>
      <c r="U40" s="38"/>
      <c r="V40" s="38"/>
      <c r="W40" s="38"/>
      <c r="X40" s="38"/>
      <c r="AI40" s="23"/>
      <c r="AJ40" s="22"/>
      <c r="AK40" s="39"/>
      <c r="AL40" s="22"/>
    </row>
    <row r="41" spans="3:38" ht="40.5" customHeight="1">
      <c r="C41" s="513"/>
      <c r="D41" s="74"/>
      <c r="E41" s="74"/>
      <c r="F41" s="74"/>
      <c r="G41" s="74"/>
      <c r="H41" s="76"/>
      <c r="I41" s="73"/>
      <c r="J41" s="73"/>
      <c r="K41" s="75"/>
      <c r="L41" s="79"/>
      <c r="M41" s="75"/>
      <c r="N41" s="70"/>
      <c r="O41" s="75"/>
      <c r="P41" s="512"/>
      <c r="T41" s="38"/>
      <c r="U41" s="38"/>
      <c r="V41" s="38"/>
      <c r="W41" s="38"/>
      <c r="X41" s="38"/>
      <c r="AI41" s="23"/>
      <c r="AJ41" s="22"/>
      <c r="AK41" s="39"/>
      <c r="AL41" s="22"/>
    </row>
    <row r="42" spans="3:38" ht="40.5" customHeight="1">
      <c r="C42" s="513"/>
      <c r="D42" s="73"/>
      <c r="E42" s="73"/>
      <c r="F42" s="73"/>
      <c r="G42" s="73"/>
      <c r="H42" s="73"/>
      <c r="I42" s="73"/>
      <c r="J42" s="73"/>
      <c r="K42" s="72"/>
      <c r="L42" s="79"/>
      <c r="M42" s="71"/>
      <c r="N42" s="70"/>
      <c r="O42" s="69"/>
      <c r="P42" s="512"/>
      <c r="T42" s="38"/>
      <c r="U42" s="38"/>
      <c r="V42" s="38"/>
      <c r="W42" s="38"/>
      <c r="X42" s="38"/>
      <c r="AI42" s="23"/>
      <c r="AJ42" s="22"/>
      <c r="AK42" s="39"/>
      <c r="AL42" s="22"/>
    </row>
    <row r="43" spans="3:38" ht="40.5" customHeight="1">
      <c r="C43" s="513"/>
      <c r="D43" s="74"/>
      <c r="E43" s="74"/>
      <c r="F43" s="74"/>
      <c r="G43" s="74"/>
      <c r="H43" s="76"/>
      <c r="I43" s="73"/>
      <c r="J43" s="73"/>
      <c r="K43" s="89"/>
      <c r="L43" s="79"/>
      <c r="M43" s="75"/>
      <c r="N43" s="70"/>
      <c r="O43" s="75"/>
      <c r="P43" s="512"/>
      <c r="T43" s="38"/>
      <c r="U43" s="38"/>
      <c r="V43" s="38"/>
      <c r="W43" s="38"/>
      <c r="X43" s="38"/>
      <c r="AI43" s="23"/>
      <c r="AJ43" s="22"/>
      <c r="AK43" s="39"/>
      <c r="AL43" s="22"/>
    </row>
    <row r="44" spans="3:38" ht="40.5" customHeight="1">
      <c r="C44" s="513"/>
      <c r="D44" s="73"/>
      <c r="E44" s="73"/>
      <c r="F44" s="73"/>
      <c r="G44" s="73"/>
      <c r="H44" s="73"/>
      <c r="I44" s="73"/>
      <c r="J44" s="73"/>
      <c r="K44" s="88"/>
      <c r="L44" s="79"/>
      <c r="M44" s="71"/>
      <c r="N44" s="70"/>
      <c r="O44" s="69"/>
      <c r="P44" s="512"/>
      <c r="T44" s="38"/>
      <c r="U44" s="38"/>
      <c r="V44" s="38"/>
      <c r="W44" s="38"/>
      <c r="X44" s="38"/>
      <c r="AI44" s="23"/>
      <c r="AJ44" s="22"/>
      <c r="AK44" s="39"/>
      <c r="AL44" s="22"/>
    </row>
    <row r="45" spans="3:38" ht="40.5" customHeight="1">
      <c r="C45" s="513"/>
      <c r="D45" s="74"/>
      <c r="E45" s="74"/>
      <c r="F45" s="74"/>
      <c r="G45" s="77"/>
      <c r="H45" s="76"/>
      <c r="I45" s="73"/>
      <c r="J45" s="73"/>
      <c r="K45" s="75"/>
      <c r="L45" s="79"/>
      <c r="M45" s="75"/>
      <c r="N45" s="70"/>
      <c r="O45" s="75"/>
      <c r="P45" s="86"/>
      <c r="R45" s="38"/>
      <c r="S45" s="38"/>
      <c r="T45" s="38"/>
      <c r="U45" s="38"/>
      <c r="V45" s="38"/>
      <c r="W45" s="38"/>
      <c r="X45" s="38"/>
      <c r="Y45" s="38"/>
      <c r="Z45" s="38"/>
      <c r="AI45" s="23"/>
      <c r="AJ45" s="22"/>
      <c r="AK45" s="39"/>
      <c r="AL45" s="22"/>
    </row>
    <row r="46" spans="3:38" ht="40.5" customHeight="1">
      <c r="C46" s="513"/>
      <c r="D46" s="73"/>
      <c r="E46" s="73"/>
      <c r="F46" s="73"/>
      <c r="G46" s="73"/>
      <c r="H46" s="73"/>
      <c r="I46" s="73"/>
      <c r="J46" s="73"/>
      <c r="K46" s="72"/>
      <c r="L46" s="79"/>
      <c r="M46" s="71"/>
      <c r="N46" s="70"/>
      <c r="O46" s="69"/>
      <c r="P46" s="512"/>
      <c r="R46" s="38"/>
      <c r="S46" s="38"/>
      <c r="T46" s="38"/>
      <c r="U46" s="38"/>
      <c r="V46" s="38"/>
      <c r="W46" s="38"/>
      <c r="X46" s="38"/>
      <c r="Y46" s="38"/>
      <c r="Z46" s="38"/>
      <c r="AI46" s="23"/>
      <c r="AJ46" s="22"/>
      <c r="AK46" s="39"/>
      <c r="AL46" s="22"/>
    </row>
    <row r="47" spans="3:38" ht="40.5" customHeight="1">
      <c r="C47" s="513"/>
      <c r="D47" s="74"/>
      <c r="E47" s="74"/>
      <c r="F47" s="74"/>
      <c r="G47" s="74"/>
      <c r="H47" s="74"/>
      <c r="I47" s="73"/>
      <c r="J47" s="73"/>
      <c r="K47" s="75"/>
      <c r="L47" s="70"/>
      <c r="M47" s="75"/>
      <c r="N47" s="70"/>
      <c r="O47" s="75"/>
      <c r="P47" s="512"/>
      <c r="R47" s="38"/>
      <c r="S47" s="38"/>
      <c r="T47" s="38"/>
      <c r="U47" s="38"/>
      <c r="V47" s="38"/>
      <c r="W47" s="38"/>
      <c r="X47" s="38"/>
      <c r="Y47" s="38"/>
      <c r="Z47" s="38"/>
    </row>
    <row r="48" spans="3:38" ht="40.5" customHeight="1">
      <c r="K48" s="72"/>
      <c r="L48" s="70"/>
      <c r="M48" s="71"/>
      <c r="N48" s="70"/>
      <c r="O48" s="69"/>
      <c r="P48" s="512"/>
      <c r="R48" s="38"/>
      <c r="S48" s="38"/>
      <c r="T48" s="38"/>
      <c r="U48" s="38"/>
      <c r="V48" s="38"/>
      <c r="W48" s="38"/>
      <c r="X48" s="38"/>
      <c r="Y48" s="38"/>
      <c r="Z48" s="38"/>
    </row>
    <row r="49" spans="11:26" ht="45" customHeight="1">
      <c r="K49" s="75"/>
      <c r="L49" s="83"/>
      <c r="M49" s="75"/>
      <c r="N49" s="70"/>
      <c r="O49" s="75"/>
      <c r="P49" s="512"/>
      <c r="R49" s="38"/>
      <c r="S49" s="38"/>
      <c r="T49" s="38"/>
      <c r="U49" s="38"/>
      <c r="V49" s="38"/>
      <c r="W49" s="38"/>
      <c r="X49" s="38"/>
      <c r="Y49" s="38"/>
      <c r="Z49" s="38"/>
    </row>
    <row r="50" spans="11:26" ht="26" customHeight="1">
      <c r="K50" s="72"/>
      <c r="L50" s="70"/>
      <c r="M50" s="71"/>
      <c r="N50" s="70"/>
      <c r="O50" s="69"/>
      <c r="P50" s="512"/>
      <c r="R50" s="38"/>
      <c r="S50" s="38"/>
      <c r="T50" s="38"/>
      <c r="U50" s="38"/>
      <c r="V50" s="38"/>
      <c r="W50" s="38"/>
      <c r="X50" s="38"/>
      <c r="Y50" s="38"/>
      <c r="Z50" s="38"/>
    </row>
    <row r="51" spans="11:26" ht="45" customHeight="1">
      <c r="K51" s="75"/>
      <c r="L51" s="80"/>
      <c r="M51" s="75"/>
      <c r="N51" s="70"/>
      <c r="O51" s="75"/>
      <c r="P51" s="512"/>
      <c r="R51" s="38"/>
      <c r="S51" s="38"/>
      <c r="T51" s="38"/>
      <c r="U51" s="38"/>
      <c r="V51" s="38"/>
      <c r="W51" s="38"/>
      <c r="X51" s="38"/>
      <c r="Y51" s="38"/>
      <c r="Z51" s="38"/>
    </row>
    <row r="52" spans="11:26" ht="45" customHeight="1">
      <c r="K52" s="72"/>
      <c r="L52" s="79"/>
      <c r="M52" s="71"/>
      <c r="N52" s="70"/>
      <c r="O52" s="69"/>
      <c r="P52" s="512"/>
      <c r="R52" s="38"/>
      <c r="S52" s="38"/>
      <c r="T52" s="38"/>
      <c r="U52" s="38"/>
      <c r="V52" s="38"/>
      <c r="W52" s="38"/>
      <c r="X52" s="38"/>
      <c r="Y52" s="38"/>
      <c r="Z52" s="38"/>
    </row>
    <row r="53" spans="11:26" ht="45" customHeight="1">
      <c r="K53" s="75"/>
      <c r="L53" s="79"/>
      <c r="M53" s="75"/>
      <c r="N53" s="70"/>
      <c r="O53" s="75"/>
      <c r="P53" s="78"/>
      <c r="R53" s="38"/>
      <c r="S53" s="38"/>
      <c r="T53" s="38"/>
      <c r="U53" s="38"/>
      <c r="V53" s="38"/>
      <c r="W53" s="38"/>
      <c r="X53" s="38"/>
      <c r="Y53" s="38"/>
      <c r="Z53" s="38"/>
    </row>
    <row r="54" spans="11:26" ht="45" customHeight="1">
      <c r="K54" s="72"/>
      <c r="L54" s="70"/>
      <c r="M54" s="71"/>
      <c r="N54" s="70"/>
      <c r="O54" s="69"/>
      <c r="P54" s="512"/>
      <c r="R54" s="38"/>
      <c r="S54" s="38"/>
      <c r="T54" s="38"/>
      <c r="U54" s="38"/>
      <c r="V54" s="38"/>
      <c r="W54" s="38"/>
      <c r="X54" s="38"/>
      <c r="Y54" s="38"/>
      <c r="Z54" s="38"/>
    </row>
    <row r="55" spans="11:26" ht="45" customHeight="1">
      <c r="K55" s="75"/>
      <c r="L55" s="70"/>
      <c r="M55" s="75"/>
      <c r="N55" s="70"/>
      <c r="O55" s="75"/>
      <c r="P55" s="512"/>
    </row>
    <row r="56" spans="11:26" ht="45" customHeight="1">
      <c r="K56" s="72"/>
      <c r="L56" s="70"/>
      <c r="M56" s="71"/>
      <c r="N56" s="70"/>
      <c r="O56" s="69"/>
      <c r="P56" s="512"/>
    </row>
    <row r="57" spans="11:26" ht="45" customHeight="1">
      <c r="K57" s="75"/>
      <c r="L57" s="70"/>
      <c r="M57" s="75"/>
      <c r="N57" s="70"/>
      <c r="O57" s="75"/>
      <c r="P57" s="512"/>
    </row>
    <row r="58" spans="11:26" ht="45" customHeight="1">
      <c r="K58" s="72"/>
      <c r="L58" s="70"/>
      <c r="M58" s="71"/>
      <c r="N58" s="70"/>
      <c r="O58" s="69"/>
      <c r="P58" s="512"/>
    </row>
    <row r="59" spans="11:26" ht="45" customHeight="1">
      <c r="K59" s="75"/>
      <c r="L59" s="70"/>
      <c r="M59" s="75"/>
      <c r="N59" s="70"/>
      <c r="O59" s="75"/>
      <c r="P59" s="512"/>
    </row>
    <row r="60" spans="11:26" ht="45" customHeight="1">
      <c r="K60" s="72"/>
      <c r="L60" s="70"/>
      <c r="M60" s="71"/>
      <c r="N60" s="70"/>
      <c r="O60" s="69"/>
      <c r="P60" s="512"/>
    </row>
  </sheetData>
  <sheetProtection algorithmName="SHA-512" hashValue="bZzfTkauXaayjUMlGXVb9GgGFATeXM58xIWU7YpA9g0QOvO5QE1Pz7AZ1jnx1BzadwmJ3D6kS4RChkmMJyK24Q==" saltValue="edk2QSIXETApU+pVeiDs7w==" spinCount="100000" sheet="1" objects="1" scenarios="1"/>
  <protectedRanges>
    <protectedRange algorithmName="SHA-512" hashValue="zYecIPhrCOylVCLRChOCMNuO8udmVnDgHasvlrHw6+ul/Tc2T9aYYBE+PRTod6Zo/EeQvz/9UHw5ElwwYA+xkA==" saltValue="RLJQ7kO2K1LbThr9VSQZpw==" spinCount="100000" sqref="D35:E35 D37:E37" name="Condic_Precip"/>
    <protectedRange algorithmName="SHA-512" hashValue="/r1qI6/O6xMYahbso8mdc891jWdagJVeuNyGt6l2GzJA22nNxx87B/9fCl7ETjzLamn3PfpyeySr9WPB+Vs3Mw==" saltValue="JEORqHnTcd09VfkfRVbzIA==" spinCount="100000" sqref="P7:P11" name="Usos do Solo"/>
    <protectedRange algorithmName="SHA-512" hashValue="Vg7XQXu1plkFz98tl3LY5UU83Qoso1WeBFey7DFiKNhrJ3pCoe2PEgjUZ4AJ+V7IsAPcQmQp/Mc+8dJ4axR5dg==" saltValue="ZolWhvgmqazzPhi23WvcUw==" spinCount="100000" sqref="E5 I5 I11 I19 E11:F11 G6" name="Indice Impermeabilidade_1"/>
    <protectedRange algorithmName="SHA-512" hashValue="zYecIPhrCOylVCLRChOCMNuO8udmVnDgHasvlrHw6+ul/Tc2T9aYYBE+PRTod6Zo/EeQvz/9UHw5ElwwYA+xkA==" saltValue="RLJQ7kO2K1LbThr9VSQZpw==" spinCount="100000" sqref="C14:D16" name="Condic_Precip_1"/>
  </protectedRanges>
  <mergeCells count="36">
    <mergeCell ref="I15:I16"/>
    <mergeCell ref="J13:J14"/>
    <mergeCell ref="J15:J16"/>
    <mergeCell ref="C15:F16"/>
    <mergeCell ref="D17:E17"/>
    <mergeCell ref="G17:J17"/>
    <mergeCell ref="C19:F19"/>
    <mergeCell ref="P54:P60"/>
    <mergeCell ref="C42:C43"/>
    <mergeCell ref="C44:C45"/>
    <mergeCell ref="C46:C47"/>
    <mergeCell ref="C40:C41"/>
    <mergeCell ref="G23:J23"/>
    <mergeCell ref="Z20:AH20"/>
    <mergeCell ref="R28:Z28"/>
    <mergeCell ref="P30:P36"/>
    <mergeCell ref="C20:J20"/>
    <mergeCell ref="P46:P52"/>
    <mergeCell ref="P37:P38"/>
    <mergeCell ref="P39:P44"/>
    <mergeCell ref="C38:C39"/>
    <mergeCell ref="D23:E23"/>
    <mergeCell ref="F2:G2"/>
    <mergeCell ref="D1:K1"/>
    <mergeCell ref="R13:Z13"/>
    <mergeCell ref="P2:AD5"/>
    <mergeCell ref="R12:Z12"/>
    <mergeCell ref="C3:J3"/>
    <mergeCell ref="C5:F5"/>
    <mergeCell ref="C6:J6"/>
    <mergeCell ref="C11:F11"/>
    <mergeCell ref="C12:J12"/>
    <mergeCell ref="D9:E9"/>
    <mergeCell ref="G9:J9"/>
    <mergeCell ref="I13:I14"/>
    <mergeCell ref="C2:D2"/>
  </mergeCells>
  <dataValidations count="1">
    <dataValidation type="list" allowBlank="1" showInputMessage="1" showErrorMessage="1" sqref="D39">
      <formula1>$T$47:$T$52</formula1>
    </dataValidation>
  </dataValidations>
  <hyperlinks>
    <hyperlink ref="G23" r:id="rId1"/>
  </hyperlinks>
  <pageMargins left="0.25" right="0.25" top="0.75" bottom="0.75" header="0.3" footer="0.3"/>
  <pageSetup paperSize="9" scale="25"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Listas!$A$20:$A$25</xm:f>
          </x14:formula1>
          <xm:sqref>C22</xm:sqref>
        </x14:dataValidation>
        <x14:dataValidation type="list" allowBlank="1" showInputMessage="1" showErrorMessage="1">
          <x14:formula1>
            <xm:f>Listas!$A$11:$A$12</xm:f>
          </x14:formula1>
          <xm:sqref>G14 G16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19</vt:i4>
      </vt:variant>
      <vt:variant>
        <vt:lpstr>Intervalos com nome</vt:lpstr>
      </vt:variant>
      <vt:variant>
        <vt:i4>6</vt:i4>
      </vt:variant>
    </vt:vector>
  </HeadingPairs>
  <TitlesOfParts>
    <vt:vector size="25" baseType="lpstr">
      <vt:lpstr>Definições Calc I.A.</vt:lpstr>
      <vt:lpstr>Registo de edições</vt:lpstr>
      <vt:lpstr>Guia de utilização</vt:lpstr>
      <vt:lpstr>Descrições técnicas</vt:lpstr>
      <vt:lpstr>Definições I.A.</vt:lpstr>
      <vt:lpstr>0. Informação Preparatória</vt:lpstr>
      <vt:lpstr>1. Energia</vt:lpstr>
      <vt:lpstr>2. Biodiversidade + I. Verde</vt:lpstr>
      <vt:lpstr>3. Água + Drenagem Sustentáv</vt:lpstr>
      <vt:lpstr>4. Economia Circular + Carbono</vt:lpstr>
      <vt:lpstr>Resultado Final I.A.</vt:lpstr>
      <vt:lpstr>Listas</vt:lpstr>
      <vt:lpstr>Termos e definições</vt:lpstr>
      <vt:lpstr>Doc obrigatória legal</vt:lpstr>
      <vt:lpstr>Dúvidas</vt:lpstr>
      <vt:lpstr>Diagnóstico arbóreo</vt:lpstr>
      <vt:lpstr>Área arbórea conservada</vt:lpstr>
      <vt:lpstr>Área arborizada</vt:lpstr>
      <vt:lpstr>espécies arruamento existentes</vt:lpstr>
      <vt:lpstr>'0. Informação Preparatória'!Área_de_Impressão</vt:lpstr>
      <vt:lpstr>'1. Energia'!Área_de_Impressão</vt:lpstr>
      <vt:lpstr>'Definições I.A.'!Área_de_Impressão</vt:lpstr>
      <vt:lpstr>'Descrições técnicas'!Área_de_Impressão</vt:lpstr>
      <vt:lpstr>'Guia de utilização'!Área_de_Impressão</vt:lpstr>
      <vt:lpstr>'Registo de edições'!Área_de_Impressão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António Ferrinho Semedo</dc:creator>
  <cp:lastModifiedBy>Manuel António Ferrinho Semedo</cp:lastModifiedBy>
  <cp:lastPrinted>2025-01-02T11:55:52Z</cp:lastPrinted>
  <dcterms:created xsi:type="dcterms:W3CDTF">2024-08-23T15:02:30Z</dcterms:created>
  <dcterms:modified xsi:type="dcterms:W3CDTF">2025-07-02T15:43:48Z</dcterms:modified>
</cp:coreProperties>
</file>